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xml"/>
  <Override PartName="/xl/charts/chart5.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1"/>
  <workbookPr defaultThemeVersion="166925"/>
  <mc:AlternateContent xmlns:mc="http://schemas.openxmlformats.org/markup-compatibility/2006">
    <mc:Choice Requires="x15">
      <x15ac:absPath xmlns:x15ac="http://schemas.microsoft.com/office/spreadsheetml/2010/11/ac" url="/Users/amybaetsen/Desktop/MSU Spring 2019/Econ_Analysis/"/>
    </mc:Choice>
  </mc:AlternateContent>
  <xr:revisionPtr revIDLastSave="0" documentId="13_ncr:1_{1173DBDE-A97D-2649-839E-37B29921A082}" xr6:coauthVersionLast="36" xr6:coauthVersionMax="36" xr10:uidLastSave="{00000000-0000-0000-0000-000000000000}"/>
  <bookViews>
    <workbookView xWindow="26100" yWindow="460" windowWidth="28980" windowHeight="16720" firstSheet="9" activeTab="9" xr2:uid="{00000000-000D-0000-FFFF-FFFF00000000}"/>
  </bookViews>
  <sheets>
    <sheet name="Introduction" sheetId="1" r:id="rId1"/>
    <sheet name="Economic Surplus Parameters" sheetId="2" r:id="rId2"/>
    <sheet name="Incidence Parameters" sheetId="3" r:id="rId3"/>
    <sheet name="Research Costs" sheetId="5" r:id="rId4"/>
    <sheet name="Research and Outreach Costs" sheetId="6" r:id="rId5"/>
    <sheet name="Soybean Prices and Production" sheetId="4" r:id="rId6"/>
    <sheet name="Seed Treatment Costs" sheetId="7" r:id="rId7"/>
    <sheet name="Adoption Path Fluopyram" sheetId="9" r:id="rId8"/>
    <sheet name="Damage-Reduction Analysis" sheetId="12" r:id="rId9"/>
    <sheet name="Economic Surplus Analysis" sheetId="13" r:id="rId10"/>
    <sheet name="Soybean Prices Sensitivity" sheetId="14" r:id="rId11"/>
    <sheet name="Adoption Path Sensitivity" sheetId="16" r:id="rId12"/>
    <sheet name="Incidence Sensitivity" sheetId="19" r:id="rId13"/>
    <sheet name="Damage-Reduction Analysis Worse" sheetId="20" r:id="rId14"/>
    <sheet name="Economic Surplus Analysis Worse" sheetId="22" r:id="rId15"/>
    <sheet name="Damage-Reduction Best" sheetId="23" r:id="rId16"/>
    <sheet name="Economic Surplus Analysis Best" sheetId="25" r:id="rId17"/>
  </sheets>
  <definedNames>
    <definedName name="Alpha" localSheetId="11">'Adoption Path Sensitivity'!$B$13</definedName>
    <definedName name="Alpha">#REF!</definedName>
    <definedName name="Peak" localSheetId="11">'Adoption Path Sensitivity'!$B$11</definedName>
    <definedName name="Peak">#REF!</definedName>
    <definedName name="Time0" localSheetId="11">'Adoption Path Sensitivity'!$B$14</definedName>
    <definedName name="Time0">#REF!</definedName>
    <definedName name="Time1" localSheetId="11">'Adoption Path Sensitivity'!$B$7</definedName>
    <definedName name="Time1">#REF!</definedName>
    <definedName name="Time2" localSheetId="11">'Adoption Path Sensitivity'!$B$9</definedName>
    <definedName name="Time2">#REF!</definedName>
    <definedName name="Value1" localSheetId="11">'Adoption Path Sensitivity'!$B$8</definedName>
    <definedName name="Value1">#REF!</definedName>
    <definedName name="Value2" localSheetId="11">'Adoption Path Sensitivity'!$B$10</definedName>
    <definedName name="Value2">#REF!</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28" i="13" l="1"/>
  <c r="L29" i="13"/>
  <c r="D42" i="12"/>
  <c r="K29" i="13"/>
  <c r="E47" i="12"/>
  <c r="F47" i="12"/>
  <c r="F49" i="12" s="1"/>
  <c r="F36" i="12"/>
  <c r="E49" i="12"/>
  <c r="E36" i="12"/>
  <c r="D49" i="12"/>
  <c r="D44" i="12"/>
  <c r="D48" i="12"/>
  <c r="D47" i="12"/>
  <c r="C32" i="23"/>
  <c r="B32" i="23"/>
  <c r="C31" i="23"/>
  <c r="B31" i="23"/>
  <c r="C30" i="23"/>
  <c r="B30" i="23"/>
  <c r="C28" i="23"/>
  <c r="B28" i="23"/>
  <c r="C27" i="23"/>
  <c r="B27" i="23"/>
  <c r="C26" i="23"/>
  <c r="B26" i="23"/>
  <c r="C25" i="23"/>
  <c r="B25" i="23"/>
  <c r="C23" i="23"/>
  <c r="B23" i="23"/>
  <c r="C22" i="23"/>
  <c r="B22" i="23"/>
  <c r="C21" i="23"/>
  <c r="B21" i="23"/>
  <c r="C20" i="23"/>
  <c r="B20" i="23"/>
  <c r="C18" i="23"/>
  <c r="B18" i="23"/>
  <c r="B19" i="23"/>
  <c r="C32" i="20"/>
  <c r="B32" i="20"/>
  <c r="C31" i="20"/>
  <c r="B31" i="20"/>
  <c r="C30" i="20"/>
  <c r="B30" i="20"/>
  <c r="C28" i="20"/>
  <c r="B28" i="20"/>
  <c r="C27" i="20"/>
  <c r="B27" i="20"/>
  <c r="B26" i="20"/>
  <c r="C26" i="20"/>
  <c r="C25" i="20"/>
  <c r="B25" i="20"/>
  <c r="C23" i="20"/>
  <c r="B23" i="20"/>
  <c r="C22" i="20"/>
  <c r="B22" i="20"/>
  <c r="C21" i="20"/>
  <c r="B21" i="20"/>
  <c r="C20" i="20"/>
  <c r="B20" i="20"/>
  <c r="C18" i="20"/>
  <c r="B18" i="20"/>
  <c r="B19" i="20"/>
  <c r="K6" i="13"/>
  <c r="C29" i="12"/>
  <c r="C32" i="12" l="1"/>
  <c r="B32" i="12"/>
  <c r="C31" i="12"/>
  <c r="B31" i="12"/>
  <c r="C30" i="12"/>
  <c r="B30" i="12"/>
  <c r="B28" i="12"/>
  <c r="C28" i="12"/>
  <c r="C27" i="12"/>
  <c r="B27" i="12"/>
  <c r="C26" i="12"/>
  <c r="B26" i="12"/>
  <c r="C25" i="12"/>
  <c r="B25" i="12"/>
  <c r="C23" i="12"/>
  <c r="B23" i="12"/>
  <c r="C22" i="12"/>
  <c r="B22" i="12"/>
  <c r="C21" i="12"/>
  <c r="B21" i="12"/>
  <c r="C18" i="12"/>
  <c r="B18" i="12"/>
  <c r="C20" i="12"/>
  <c r="B20" i="12"/>
  <c r="B19" i="12"/>
  <c r="K19" i="23" l="1"/>
  <c r="K24" i="23"/>
  <c r="K29" i="23"/>
  <c r="I24" i="23"/>
  <c r="I29" i="23"/>
  <c r="K19" i="20"/>
  <c r="K24" i="20"/>
  <c r="K29" i="20"/>
  <c r="I24" i="20"/>
  <c r="I29" i="20"/>
  <c r="J29" i="23"/>
  <c r="J24" i="23"/>
  <c r="J19" i="23"/>
  <c r="B29" i="23"/>
  <c r="C29" i="23"/>
  <c r="B29" i="20"/>
  <c r="C24" i="23"/>
  <c r="B24" i="23"/>
  <c r="B24" i="20"/>
  <c r="C19" i="23"/>
  <c r="C29" i="20"/>
  <c r="C19" i="20"/>
  <c r="F19" i="20"/>
  <c r="C24" i="20"/>
  <c r="F24" i="20"/>
  <c r="E19" i="20" l="1"/>
  <c r="E24" i="20"/>
  <c r="B29" i="12" l="1"/>
  <c r="B24" i="12"/>
  <c r="C24" i="12"/>
  <c r="C19" i="12"/>
  <c r="G19" i="12" s="1"/>
  <c r="J19" i="12" s="1"/>
  <c r="F8" i="4"/>
  <c r="D19" i="12" l="1"/>
  <c r="Q15" i="14"/>
  <c r="P15" i="14"/>
  <c r="N37" i="14" l="1"/>
  <c r="O6" i="14" l="1"/>
  <c r="O7" i="14"/>
  <c r="O8" i="14"/>
  <c r="O9" i="14"/>
  <c r="O10" i="14"/>
  <c r="O11" i="14"/>
  <c r="O12" i="14"/>
  <c r="O13" i="14"/>
  <c r="O14" i="14"/>
  <c r="O15" i="14"/>
  <c r="O16" i="14"/>
  <c r="O17" i="14"/>
  <c r="O18" i="14"/>
  <c r="O19" i="14"/>
  <c r="O20" i="14"/>
  <c r="O21" i="14"/>
  <c r="O22" i="14"/>
  <c r="O23" i="14"/>
  <c r="O24" i="14"/>
  <c r="O25" i="14"/>
  <c r="O26" i="14"/>
  <c r="O27" i="14"/>
  <c r="O28" i="14"/>
  <c r="O29" i="14"/>
  <c r="O30" i="14"/>
  <c r="P6" i="14" s="1"/>
  <c r="Q6" i="14" s="1"/>
  <c r="O31" i="14"/>
  <c r="O32" i="14"/>
  <c r="O33" i="14"/>
  <c r="O34" i="14"/>
  <c r="O35" i="14"/>
  <c r="O37" i="14" l="1"/>
  <c r="F8" i="14"/>
  <c r="H9" i="14" l="1"/>
  <c r="H16" i="14"/>
  <c r="J21" i="14"/>
  <c r="H19" i="14"/>
  <c r="J12" i="14"/>
  <c r="H10" i="14"/>
  <c r="H21" i="14"/>
  <c r="J14" i="14"/>
  <c r="J20" i="14"/>
  <c r="H8" i="14"/>
  <c r="J17" i="14"/>
  <c r="H15" i="14"/>
  <c r="J8" i="14"/>
  <c r="J19" i="14"/>
  <c r="H17" i="14"/>
  <c r="H20" i="14"/>
  <c r="J18" i="14"/>
  <c r="J9" i="14"/>
  <c r="J11" i="14"/>
  <c r="H12" i="14"/>
  <c r="J13" i="14"/>
  <c r="H11" i="14"/>
  <c r="H18" i="14"/>
  <c r="J15" i="14"/>
  <c r="H13" i="14"/>
  <c r="J10" i="14"/>
  <c r="J16" i="14"/>
  <c r="H14" i="14"/>
  <c r="J6" i="13" l="1"/>
  <c r="J7" i="13"/>
  <c r="J8" i="13"/>
  <c r="J9" i="13"/>
  <c r="J10" i="13"/>
  <c r="J11" i="13"/>
  <c r="J12" i="13"/>
  <c r="J13" i="13"/>
  <c r="J14" i="13"/>
  <c r="J15" i="13"/>
  <c r="J16" i="13"/>
  <c r="J17" i="13"/>
  <c r="J18" i="13"/>
  <c r="J19" i="13"/>
  <c r="J5" i="13"/>
  <c r="S12" i="16"/>
  <c r="S9" i="16"/>
  <c r="N8" i="16" s="1"/>
  <c r="S8" i="16"/>
  <c r="G12" i="16"/>
  <c r="G9" i="16"/>
  <c r="B8" i="16" s="1"/>
  <c r="G8" i="16"/>
  <c r="J7" i="14" l="1"/>
  <c r="J24" i="14" s="1"/>
  <c r="H7" i="14"/>
  <c r="H24" i="14" s="1"/>
  <c r="I9" i="9"/>
  <c r="E21" i="9" s="1"/>
  <c r="I8" i="9"/>
  <c r="E19" i="9" s="1"/>
  <c r="B9" i="9"/>
  <c r="B7" i="9"/>
  <c r="B12" i="9" l="1"/>
  <c r="B13" i="9" s="1"/>
  <c r="K6" i="25"/>
  <c r="K7" i="25"/>
  <c r="K8" i="25"/>
  <c r="K9" i="25"/>
  <c r="K10" i="25"/>
  <c r="K11" i="25"/>
  <c r="K12" i="25"/>
  <c r="K13" i="25"/>
  <c r="K14" i="25"/>
  <c r="K15" i="25"/>
  <c r="K16" i="25"/>
  <c r="K17" i="25"/>
  <c r="K18" i="25"/>
  <c r="K19" i="25"/>
  <c r="K5" i="25"/>
  <c r="K6" i="22"/>
  <c r="K7" i="22"/>
  <c r="K8" i="22"/>
  <c r="K9" i="22"/>
  <c r="K10" i="22"/>
  <c r="K11" i="22"/>
  <c r="K12" i="22"/>
  <c r="K13" i="22"/>
  <c r="K14" i="22"/>
  <c r="K15" i="22"/>
  <c r="K16" i="22"/>
  <c r="K17" i="22"/>
  <c r="K18" i="22"/>
  <c r="K19" i="22"/>
  <c r="K5" i="22"/>
  <c r="K7" i="13"/>
  <c r="K8" i="13"/>
  <c r="K9" i="13"/>
  <c r="K10" i="13"/>
  <c r="K11" i="13"/>
  <c r="K12" i="13"/>
  <c r="K13" i="13"/>
  <c r="K14" i="13"/>
  <c r="K15" i="13"/>
  <c r="K16" i="13"/>
  <c r="K17" i="13"/>
  <c r="K18" i="13"/>
  <c r="K19" i="13"/>
  <c r="K5" i="13"/>
  <c r="J6" i="25"/>
  <c r="J7" i="25"/>
  <c r="J8" i="25"/>
  <c r="J9" i="25"/>
  <c r="J10" i="25"/>
  <c r="J11" i="25"/>
  <c r="J12" i="25"/>
  <c r="J13" i="25"/>
  <c r="J14" i="25"/>
  <c r="J15" i="25"/>
  <c r="J16" i="25"/>
  <c r="J17" i="25"/>
  <c r="J18" i="25"/>
  <c r="J19" i="25"/>
  <c r="J5" i="25"/>
  <c r="J7" i="22"/>
  <c r="J8" i="22"/>
  <c r="J9" i="22"/>
  <c r="J10" i="22"/>
  <c r="J11" i="22"/>
  <c r="J12" i="22"/>
  <c r="J13" i="22"/>
  <c r="J14" i="22"/>
  <c r="J15" i="22"/>
  <c r="J16" i="22"/>
  <c r="J17" i="22"/>
  <c r="J18" i="22"/>
  <c r="J19" i="22"/>
  <c r="J6" i="22"/>
  <c r="J5" i="22"/>
  <c r="D24" i="19"/>
  <c r="E24" i="19" s="1"/>
  <c r="D23" i="19"/>
  <c r="E23" i="19" s="1"/>
  <c r="D22" i="19"/>
  <c r="E22" i="19" s="1"/>
  <c r="D21" i="19"/>
  <c r="E21" i="19" s="1"/>
  <c r="D20" i="19"/>
  <c r="E20" i="19" s="1"/>
  <c r="I19" i="19"/>
  <c r="D19" i="19"/>
  <c r="E19" i="19" s="1"/>
  <c r="I18" i="19"/>
  <c r="D18" i="19"/>
  <c r="E18" i="19" s="1"/>
  <c r="I17" i="19"/>
  <c r="D17" i="19"/>
  <c r="E17" i="19" s="1"/>
  <c r="I16" i="19"/>
  <c r="D16" i="19"/>
  <c r="E16" i="19" s="1"/>
  <c r="I15" i="19"/>
  <c r="D15" i="19"/>
  <c r="E15" i="19" s="1"/>
  <c r="I14" i="19"/>
  <c r="D14" i="19"/>
  <c r="E14" i="19" s="1"/>
  <c r="I13" i="19"/>
  <c r="D13" i="19"/>
  <c r="E13" i="19" s="1"/>
  <c r="I12" i="19"/>
  <c r="D12" i="19"/>
  <c r="E12" i="19" s="1"/>
  <c r="I11" i="19"/>
  <c r="D11" i="19"/>
  <c r="E11" i="19" s="1"/>
  <c r="I10" i="19"/>
  <c r="D10" i="19"/>
  <c r="E10" i="19" s="1"/>
  <c r="I9" i="19"/>
  <c r="D9" i="19"/>
  <c r="E9" i="19" s="1"/>
  <c r="I8" i="19"/>
  <c r="D8" i="19"/>
  <c r="E8" i="19" s="1"/>
  <c r="I7" i="19"/>
  <c r="D7" i="19"/>
  <c r="E7" i="19" s="1"/>
  <c r="I6" i="19"/>
  <c r="D6" i="19"/>
  <c r="E6" i="19" s="1"/>
  <c r="I5" i="19"/>
  <c r="D5" i="19"/>
  <c r="E5" i="19" s="1"/>
  <c r="J6" i="19" l="1"/>
  <c r="F6" i="19"/>
  <c r="G6" i="19" s="1"/>
  <c r="M5" i="19" s="1"/>
  <c r="M6" i="19" s="1"/>
  <c r="B17" i="9"/>
  <c r="J16" i="19"/>
  <c r="J11" i="19"/>
  <c r="Q5" i="19" l="1"/>
  <c r="Q6" i="19" l="1"/>
  <c r="G18" i="23"/>
  <c r="J18" i="23" s="1"/>
  <c r="K18" i="23" s="1"/>
  <c r="G18" i="20"/>
  <c r="J18" i="20" s="1"/>
  <c r="E63" i="7"/>
  <c r="K18" i="20" l="1"/>
  <c r="L18" i="20" s="1"/>
  <c r="M7" i="19"/>
  <c r="N6" i="19"/>
  <c r="G19" i="20" s="1"/>
  <c r="J19" i="20" s="1"/>
  <c r="L19" i="20" s="1"/>
  <c r="Q7" i="19"/>
  <c r="R6" i="19"/>
  <c r="G19" i="23" s="1"/>
  <c r="L18" i="23" s="1"/>
  <c r="D21" i="14"/>
  <c r="D20" i="14"/>
  <c r="D19" i="14"/>
  <c r="D18" i="14"/>
  <c r="D17" i="14"/>
  <c r="D16" i="14"/>
  <c r="D15" i="14"/>
  <c r="D14" i="14"/>
  <c r="D13" i="14"/>
  <c r="D12" i="14"/>
  <c r="D11" i="14"/>
  <c r="D10" i="14"/>
  <c r="D9" i="14"/>
  <c r="D8" i="14"/>
  <c r="D7" i="14"/>
  <c r="M8" i="19" l="1"/>
  <c r="G20" i="20"/>
  <c r="J20" i="20" s="1"/>
  <c r="Q8" i="19"/>
  <c r="G20" i="23"/>
  <c r="L19" i="23" l="1"/>
  <c r="J20" i="23"/>
  <c r="K20" i="23" s="1"/>
  <c r="K20" i="20"/>
  <c r="L20" i="20" s="1"/>
  <c r="M9" i="19"/>
  <c r="G21" i="20"/>
  <c r="J21" i="20" s="1"/>
  <c r="Q9" i="19"/>
  <c r="G21" i="23"/>
  <c r="J21" i="23" s="1"/>
  <c r="K21" i="23" s="1"/>
  <c r="I19" i="3"/>
  <c r="I18" i="3"/>
  <c r="I17" i="3"/>
  <c r="I16" i="3"/>
  <c r="I15" i="3"/>
  <c r="I14" i="3"/>
  <c r="I13" i="3"/>
  <c r="I12" i="3"/>
  <c r="I11" i="3"/>
  <c r="I10" i="3"/>
  <c r="I9" i="3"/>
  <c r="I8" i="3"/>
  <c r="I7" i="3"/>
  <c r="I6" i="3"/>
  <c r="I5" i="3"/>
  <c r="K21" i="20" l="1"/>
  <c r="L21" i="20" s="1"/>
  <c r="L20" i="23"/>
  <c r="Q10" i="19"/>
  <c r="G22" i="23"/>
  <c r="M10" i="19"/>
  <c r="G22" i="20"/>
  <c r="J22" i="20" s="1"/>
  <c r="G18" i="12"/>
  <c r="J18" i="12" s="1"/>
  <c r="K18" i="12" s="1"/>
  <c r="G22" i="12"/>
  <c r="J22" i="12" s="1"/>
  <c r="K22" i="12" s="1"/>
  <c r="L22" i="12" s="1"/>
  <c r="G26" i="12"/>
  <c r="J26" i="12" s="1"/>
  <c r="K26" i="12" s="1"/>
  <c r="L26" i="12" s="1"/>
  <c r="G30" i="12"/>
  <c r="J30" i="12" s="1"/>
  <c r="K30" i="12" s="1"/>
  <c r="L30" i="12" s="1"/>
  <c r="G23" i="12"/>
  <c r="J23" i="12" s="1"/>
  <c r="K23" i="12" s="1"/>
  <c r="L23" i="12" s="1"/>
  <c r="G27" i="12"/>
  <c r="J27" i="12" s="1"/>
  <c r="K27" i="12" s="1"/>
  <c r="L27" i="12" s="1"/>
  <c r="G31" i="12"/>
  <c r="J31" i="12" s="1"/>
  <c r="K31" i="12" s="1"/>
  <c r="L31" i="12" s="1"/>
  <c r="G20" i="12"/>
  <c r="J20" i="12" s="1"/>
  <c r="K20" i="12" s="1"/>
  <c r="L20" i="12" s="1"/>
  <c r="G28" i="12"/>
  <c r="J28" i="12" s="1"/>
  <c r="K28" i="12" s="1"/>
  <c r="L28" i="12" s="1"/>
  <c r="G32" i="12"/>
  <c r="J32" i="12" s="1"/>
  <c r="K32" i="12" s="1"/>
  <c r="L32" i="12" s="1"/>
  <c r="G21" i="12"/>
  <c r="J21" i="12" s="1"/>
  <c r="G25" i="12"/>
  <c r="J25" i="12" s="1"/>
  <c r="K25" i="12" s="1"/>
  <c r="L25" i="12" s="1"/>
  <c r="L21" i="23" l="1"/>
  <c r="J22" i="23"/>
  <c r="K22" i="23" s="1"/>
  <c r="K22" i="20"/>
  <c r="L22" i="20" s="1"/>
  <c r="K21" i="12"/>
  <c r="L21" i="12" s="1"/>
  <c r="L18" i="12"/>
  <c r="M11" i="19"/>
  <c r="G23" i="20"/>
  <c r="J23" i="20" s="1"/>
  <c r="K23" i="20" s="1"/>
  <c r="L23" i="20" s="1"/>
  <c r="Q11" i="19"/>
  <c r="G23" i="23"/>
  <c r="J23" i="23" s="1"/>
  <c r="K23" i="23" s="1"/>
  <c r="D19" i="4"/>
  <c r="D20" i="4"/>
  <c r="D21" i="4"/>
  <c r="L22" i="23" l="1"/>
  <c r="Q12" i="19"/>
  <c r="R11" i="19"/>
  <c r="G24" i="23" s="1"/>
  <c r="L23" i="23" s="1"/>
  <c r="M12" i="19"/>
  <c r="N11" i="19"/>
  <c r="G24" i="20" s="1"/>
  <c r="J24" i="20" s="1"/>
  <c r="L24" i="20" s="1"/>
  <c r="M13" i="19" l="1"/>
  <c r="G25" i="20"/>
  <c r="J25" i="20" s="1"/>
  <c r="Q13" i="19"/>
  <c r="G25" i="23"/>
  <c r="B22" i="9"/>
  <c r="B73" i="9"/>
  <c r="B69" i="9"/>
  <c r="B72" i="9"/>
  <c r="B68" i="9"/>
  <c r="B71" i="9"/>
  <c r="B70" i="9"/>
  <c r="B63" i="9"/>
  <c r="B28" i="9"/>
  <c r="B66" i="9"/>
  <c r="B50" i="9"/>
  <c r="B57" i="9"/>
  <c r="B60" i="9"/>
  <c r="B47" i="9"/>
  <c r="B34" i="9"/>
  <c r="B36" i="9"/>
  <c r="B44" i="9"/>
  <c r="B31" i="9"/>
  <c r="B18" i="9"/>
  <c r="B21" i="9"/>
  <c r="B49" i="9"/>
  <c r="B33" i="9"/>
  <c r="B53" i="9"/>
  <c r="B40" i="9"/>
  <c r="B59" i="9"/>
  <c r="B27" i="9"/>
  <c r="B46" i="9"/>
  <c r="B37" i="9"/>
  <c r="B55" i="9"/>
  <c r="B23" i="9"/>
  <c r="B42" i="9"/>
  <c r="B65" i="9"/>
  <c r="B56" i="9"/>
  <c r="B24" i="9"/>
  <c r="B43" i="9"/>
  <c r="B62" i="9"/>
  <c r="B30" i="9"/>
  <c r="B52" i="9"/>
  <c r="B20" i="9"/>
  <c r="B39" i="9"/>
  <c r="D28" i="9" s="1"/>
  <c r="B58" i="9"/>
  <c r="B26" i="9"/>
  <c r="B45" i="9"/>
  <c r="B29" i="9"/>
  <c r="B64" i="9"/>
  <c r="B48" i="9"/>
  <c r="B32" i="9"/>
  <c r="B67" i="9"/>
  <c r="B51" i="9"/>
  <c r="B35" i="9"/>
  <c r="B19" i="9"/>
  <c r="B54" i="9"/>
  <c r="B38" i="9"/>
  <c r="B61" i="9"/>
  <c r="B41" i="9"/>
  <c r="D29" i="9" s="1"/>
  <c r="B25" i="9"/>
  <c r="L24" i="23" l="1"/>
  <c r="J25" i="23"/>
  <c r="K25" i="23" s="1"/>
  <c r="K25" i="20"/>
  <c r="L25" i="20" s="1"/>
  <c r="F12" i="13"/>
  <c r="F13" i="13"/>
  <c r="Q14" i="19"/>
  <c r="G26" i="23"/>
  <c r="J26" i="23" s="1"/>
  <c r="K26" i="23" s="1"/>
  <c r="M14" i="19"/>
  <c r="G26" i="20"/>
  <c r="J26" i="20" s="1"/>
  <c r="D31" i="9"/>
  <c r="D18" i="9"/>
  <c r="D23" i="9"/>
  <c r="D20" i="9"/>
  <c r="D25" i="9"/>
  <c r="D17" i="9"/>
  <c r="D21" i="9"/>
  <c r="D30" i="9"/>
  <c r="D22" i="9"/>
  <c r="F6" i="13" s="1"/>
  <c r="D33" i="9"/>
  <c r="D27" i="9"/>
  <c r="F11" i="13" s="1"/>
  <c r="D19" i="9"/>
  <c r="D32" i="9"/>
  <c r="F16" i="13" s="1"/>
  <c r="D26" i="9"/>
  <c r="D24" i="9"/>
  <c r="D34" i="9"/>
  <c r="D35" i="9"/>
  <c r="L25" i="23" l="1"/>
  <c r="K26" i="20"/>
  <c r="L26" i="20" s="1"/>
  <c r="F10" i="13"/>
  <c r="M15" i="19"/>
  <c r="G27" i="20"/>
  <c r="J27" i="20" s="1"/>
  <c r="K27" i="20" s="1"/>
  <c r="L27" i="20" s="1"/>
  <c r="F19" i="13"/>
  <c r="F15" i="13"/>
  <c r="F28" i="12"/>
  <c r="H28" i="12" s="1"/>
  <c r="F14" i="13"/>
  <c r="D27" i="12"/>
  <c r="I27" i="12" s="1"/>
  <c r="F17" i="13"/>
  <c r="F9" i="13"/>
  <c r="F22" i="12"/>
  <c r="H22" i="12" s="1"/>
  <c r="F18" i="13"/>
  <c r="F8" i="13"/>
  <c r="F5" i="13"/>
  <c r="F7" i="13"/>
  <c r="Q15" i="19"/>
  <c r="G27" i="23"/>
  <c r="B10" i="16"/>
  <c r="B13" i="16" s="1"/>
  <c r="N10" i="16"/>
  <c r="N13" i="16" s="1"/>
  <c r="E20" i="12"/>
  <c r="F25" i="12"/>
  <c r="H25" i="12" s="1"/>
  <c r="E25" i="12"/>
  <c r="D25" i="12"/>
  <c r="I25" i="12" s="1"/>
  <c r="D28" i="12"/>
  <c r="I28" i="12" s="1"/>
  <c r="E26" i="12"/>
  <c r="F26" i="12"/>
  <c r="H26" i="12" s="1"/>
  <c r="D26" i="12"/>
  <c r="I26" i="12" s="1"/>
  <c r="L26" i="23" l="1"/>
  <c r="J27" i="23"/>
  <c r="K27" i="23" s="1"/>
  <c r="E28" i="12"/>
  <c r="D15" i="13" s="1"/>
  <c r="Q16" i="19"/>
  <c r="G28" i="23"/>
  <c r="J28" i="23" s="1"/>
  <c r="K28" i="23" s="1"/>
  <c r="M16" i="19"/>
  <c r="G28" i="20"/>
  <c r="J28" i="20" s="1"/>
  <c r="E18" i="12"/>
  <c r="D5" i="13" s="1"/>
  <c r="F18" i="12"/>
  <c r="H18" i="12" s="1"/>
  <c r="N14" i="16"/>
  <c r="N23" i="16" s="1"/>
  <c r="N43" i="16"/>
  <c r="N59" i="16"/>
  <c r="N67" i="16"/>
  <c r="N28" i="16"/>
  <c r="N44" i="16"/>
  <c r="R32" i="16" s="1"/>
  <c r="N56" i="16"/>
  <c r="N72" i="16"/>
  <c r="N25" i="16"/>
  <c r="N33" i="16"/>
  <c r="N45" i="16"/>
  <c r="N53" i="16"/>
  <c r="N61" i="16"/>
  <c r="N69" i="16"/>
  <c r="N20" i="16"/>
  <c r="R20" i="16" s="1"/>
  <c r="N26" i="16"/>
  <c r="N34" i="16"/>
  <c r="N42" i="16"/>
  <c r="N50" i="16"/>
  <c r="N58" i="16"/>
  <c r="N66" i="16"/>
  <c r="N74" i="16"/>
  <c r="F20" i="12"/>
  <c r="H20" i="12" s="1"/>
  <c r="D12" i="13"/>
  <c r="D13" i="13"/>
  <c r="D7" i="13"/>
  <c r="D20" i="12"/>
  <c r="I20" i="12" s="1"/>
  <c r="E22" i="12"/>
  <c r="D18" i="12"/>
  <c r="I18" i="12" s="1"/>
  <c r="D22" i="12"/>
  <c r="I22" i="12" s="1"/>
  <c r="E27" i="12"/>
  <c r="F27" i="12"/>
  <c r="H27" i="12" s="1"/>
  <c r="F23" i="12"/>
  <c r="H23" i="12" s="1"/>
  <c r="E23" i="12"/>
  <c r="D23" i="12"/>
  <c r="I23" i="12" s="1"/>
  <c r="E21" i="12"/>
  <c r="F21" i="12"/>
  <c r="H21" i="12" s="1"/>
  <c r="D21" i="12"/>
  <c r="I21" i="12" s="1"/>
  <c r="F32" i="12"/>
  <c r="H32" i="12" s="1"/>
  <c r="E32" i="12"/>
  <c r="D32" i="12"/>
  <c r="I32" i="12" s="1"/>
  <c r="F31" i="12"/>
  <c r="H31" i="12" s="1"/>
  <c r="E31" i="12"/>
  <c r="D31" i="12"/>
  <c r="I31" i="12" s="1"/>
  <c r="E30" i="12"/>
  <c r="D30" i="12"/>
  <c r="I30" i="12" s="1"/>
  <c r="F30" i="12"/>
  <c r="H30" i="12" s="1"/>
  <c r="L27" i="23" l="1"/>
  <c r="L28" i="20"/>
  <c r="K28" i="20"/>
  <c r="F13" i="22"/>
  <c r="M17" i="19"/>
  <c r="N16" i="19"/>
  <c r="N70" i="16"/>
  <c r="N54" i="16"/>
  <c r="N38" i="16"/>
  <c r="N22" i="16"/>
  <c r="R21" i="16" s="1"/>
  <c r="N65" i="16"/>
  <c r="N49" i="16"/>
  <c r="N29" i="16"/>
  <c r="R24" i="16" s="1"/>
  <c r="N68" i="16"/>
  <c r="N36" i="16"/>
  <c r="N63" i="16"/>
  <c r="N35" i="16"/>
  <c r="R27" i="16" s="1"/>
  <c r="N62" i="16"/>
  <c r="N46" i="16"/>
  <c r="N30" i="16"/>
  <c r="N73" i="16"/>
  <c r="N57" i="16"/>
  <c r="N41" i="16"/>
  <c r="R30" i="16" s="1"/>
  <c r="N76" i="16"/>
  <c r="N52" i="16"/>
  <c r="N24" i="16"/>
  <c r="R22" i="16" s="1"/>
  <c r="N47" i="16"/>
  <c r="Q17" i="19"/>
  <c r="R16" i="19"/>
  <c r="G29" i="23" s="1"/>
  <c r="L28" i="23" s="1"/>
  <c r="E5" i="13"/>
  <c r="G5" i="13"/>
  <c r="R31" i="16"/>
  <c r="N37" i="16"/>
  <c r="R28" i="16" s="1"/>
  <c r="N21" i="16"/>
  <c r="N60" i="16"/>
  <c r="N40" i="16"/>
  <c r="N75" i="16"/>
  <c r="N51" i="16"/>
  <c r="R35" i="16" s="1"/>
  <c r="F16" i="22" s="1"/>
  <c r="N27" i="16"/>
  <c r="R23" i="16" s="1"/>
  <c r="N31" i="16"/>
  <c r="R38" i="16"/>
  <c r="R33" i="16"/>
  <c r="R36" i="16"/>
  <c r="E26" i="20"/>
  <c r="D13" i="22" s="1"/>
  <c r="E13" i="22" s="1"/>
  <c r="N64" i="16"/>
  <c r="N48" i="16"/>
  <c r="R34" i="16" s="1"/>
  <c r="N32" i="16"/>
  <c r="R26" i="16" s="1"/>
  <c r="N71" i="16"/>
  <c r="N55" i="16"/>
  <c r="R37" i="16" s="1"/>
  <c r="N39" i="16"/>
  <c r="R29" i="16" s="1"/>
  <c r="D18" i="13"/>
  <c r="D14" i="13"/>
  <c r="E14" i="13" s="1"/>
  <c r="D9" i="13"/>
  <c r="D10" i="13"/>
  <c r="D17" i="13"/>
  <c r="D19" i="13"/>
  <c r="D8" i="13"/>
  <c r="E8" i="13" s="1"/>
  <c r="E12" i="13"/>
  <c r="G12" i="13"/>
  <c r="E15" i="13"/>
  <c r="G15" i="13"/>
  <c r="E7" i="13"/>
  <c r="G7" i="13"/>
  <c r="E13" i="13"/>
  <c r="G13" i="13"/>
  <c r="H5" i="13" l="1"/>
  <c r="F8" i="22"/>
  <c r="E21" i="20"/>
  <c r="D8" i="22" s="1"/>
  <c r="E8" i="22" s="1"/>
  <c r="D18" i="20"/>
  <c r="I18" i="20" s="1"/>
  <c r="F5" i="22"/>
  <c r="F11" i="22"/>
  <c r="D11" i="22"/>
  <c r="F10" i="22"/>
  <c r="F17" i="22"/>
  <c r="F9" i="22"/>
  <c r="D22" i="20"/>
  <c r="I22" i="20" s="1"/>
  <c r="F15" i="22"/>
  <c r="F14" i="22"/>
  <c r="F27" i="20"/>
  <c r="H27" i="20" s="1"/>
  <c r="Q18" i="19"/>
  <c r="G30" i="23"/>
  <c r="M18" i="19"/>
  <c r="F18" i="22" s="1"/>
  <c r="G30" i="20"/>
  <c r="J30" i="20" s="1"/>
  <c r="R25" i="16"/>
  <c r="F7" i="22"/>
  <c r="F12" i="22"/>
  <c r="E25" i="20"/>
  <c r="D12" i="22" s="1"/>
  <c r="E12" i="22" s="1"/>
  <c r="G29" i="20"/>
  <c r="J29" i="20" s="1"/>
  <c r="L29" i="20" s="1"/>
  <c r="H7" i="13"/>
  <c r="I7" i="13" s="1"/>
  <c r="L7" i="13" s="1"/>
  <c r="H12" i="13"/>
  <c r="I12" i="13" s="1"/>
  <c r="G9" i="13"/>
  <c r="E9" i="13"/>
  <c r="D27" i="20"/>
  <c r="I27" i="20" s="1"/>
  <c r="H24" i="20"/>
  <c r="D24" i="20"/>
  <c r="E28" i="20"/>
  <c r="D15" i="22" s="1"/>
  <c r="E15" i="22" s="1"/>
  <c r="D21" i="20"/>
  <c r="I21" i="20" s="1"/>
  <c r="F26" i="20"/>
  <c r="H26" i="20" s="1"/>
  <c r="G14" i="13"/>
  <c r="H14" i="13" s="1"/>
  <c r="I14" i="13" s="1"/>
  <c r="L14" i="13" s="1"/>
  <c r="F25" i="20"/>
  <c r="H25" i="20" s="1"/>
  <c r="D26" i="20"/>
  <c r="I26" i="20" s="1"/>
  <c r="D25" i="20"/>
  <c r="I25" i="20" s="1"/>
  <c r="G13" i="22"/>
  <c r="H13" i="22" s="1"/>
  <c r="I13" i="22" s="1"/>
  <c r="L13" i="22" s="1"/>
  <c r="E18" i="13"/>
  <c r="G18" i="13"/>
  <c r="G8" i="13"/>
  <c r="H13" i="13"/>
  <c r="I13" i="13" s="1"/>
  <c r="L13" i="13" s="1"/>
  <c r="E10" i="13"/>
  <c r="G10" i="13"/>
  <c r="E17" i="13"/>
  <c r="G17" i="13"/>
  <c r="E19" i="13"/>
  <c r="G19" i="13"/>
  <c r="H15" i="13"/>
  <c r="I15" i="13" s="1"/>
  <c r="L15" i="13" s="1"/>
  <c r="B49" i="6"/>
  <c r="B48" i="6"/>
  <c r="B47" i="6"/>
  <c r="B46" i="6"/>
  <c r="B45" i="6"/>
  <c r="B44" i="6"/>
  <c r="B43" i="6"/>
  <c r="B38" i="6"/>
  <c r="C14" i="6"/>
  <c r="J8" i="6"/>
  <c r="C15" i="6" s="1"/>
  <c r="C16" i="6" s="1"/>
  <c r="C17" i="6" s="1"/>
  <c r="G8" i="6"/>
  <c r="D8" i="6"/>
  <c r="B106" i="5"/>
  <c r="B96" i="5"/>
  <c r="G135" i="5"/>
  <c r="D135" i="5"/>
  <c r="C138" i="5" s="1"/>
  <c r="B89" i="5"/>
  <c r="B79" i="5"/>
  <c r="B70" i="5"/>
  <c r="B53" i="5"/>
  <c r="B60" i="5"/>
  <c r="D7" i="4"/>
  <c r="L29" i="23" l="1"/>
  <c r="J30" i="23"/>
  <c r="K30" i="23" s="1"/>
  <c r="K30" i="20"/>
  <c r="L30" i="20" s="1"/>
  <c r="G8" i="22"/>
  <c r="H9" i="13"/>
  <c r="I9" i="13" s="1"/>
  <c r="L9" i="13" s="1"/>
  <c r="D29" i="20"/>
  <c r="F21" i="20"/>
  <c r="H21" i="20" s="1"/>
  <c r="G12" i="22"/>
  <c r="H12" i="22" s="1"/>
  <c r="I12" i="22" s="1"/>
  <c r="L12" i="22" s="1"/>
  <c r="D30" i="20"/>
  <c r="I30" i="20" s="1"/>
  <c r="C146" i="5"/>
  <c r="F6" i="22"/>
  <c r="Q19" i="19"/>
  <c r="G31" i="23"/>
  <c r="J31" i="23" s="1"/>
  <c r="K31" i="23" s="1"/>
  <c r="C142" i="5"/>
  <c r="C147" i="5"/>
  <c r="D145" i="5"/>
  <c r="D138" i="5"/>
  <c r="C143" i="5"/>
  <c r="C148" i="5"/>
  <c r="F22" i="20"/>
  <c r="H22" i="20" s="1"/>
  <c r="F18" i="20"/>
  <c r="H18" i="20" s="1"/>
  <c r="C144" i="5"/>
  <c r="E22" i="20"/>
  <c r="D9" i="22" s="1"/>
  <c r="E9" i="22" s="1"/>
  <c r="E18" i="20"/>
  <c r="D5" i="22" s="1"/>
  <c r="G5" i="22" s="1"/>
  <c r="M19" i="19"/>
  <c r="G31" i="20"/>
  <c r="J31" i="20" s="1"/>
  <c r="K31" i="20" s="1"/>
  <c r="L31" i="20" s="1"/>
  <c r="F30" i="20"/>
  <c r="H30" i="20" s="1"/>
  <c r="E30" i="20"/>
  <c r="D17" i="22" s="1"/>
  <c r="G17" i="22" s="1"/>
  <c r="F31" i="20"/>
  <c r="F29" i="20"/>
  <c r="H29" i="20" s="1"/>
  <c r="E29" i="20"/>
  <c r="D16" i="22" s="1"/>
  <c r="E27" i="20"/>
  <c r="D14" i="22" s="1"/>
  <c r="E14" i="22" s="1"/>
  <c r="D19" i="20"/>
  <c r="I19" i="20" s="1"/>
  <c r="I5" i="13"/>
  <c r="L5" i="13" s="1"/>
  <c r="D23" i="20"/>
  <c r="I23" i="20" s="1"/>
  <c r="F23" i="20"/>
  <c r="H23" i="20" s="1"/>
  <c r="E23" i="20"/>
  <c r="D10" i="22" s="1"/>
  <c r="G15" i="22"/>
  <c r="H15" i="22" s="1"/>
  <c r="I15" i="22" s="1"/>
  <c r="L15" i="22" s="1"/>
  <c r="F20" i="20"/>
  <c r="H20" i="20" s="1"/>
  <c r="E20" i="20"/>
  <c r="D7" i="22" s="1"/>
  <c r="D20" i="20"/>
  <c r="I20" i="20" s="1"/>
  <c r="F28" i="20"/>
  <c r="H28" i="20" s="1"/>
  <c r="D28" i="20"/>
  <c r="I28" i="20" s="1"/>
  <c r="H8" i="22"/>
  <c r="I8" i="22" s="1"/>
  <c r="L8" i="22" s="1"/>
  <c r="L12" i="13"/>
  <c r="D142" i="5"/>
  <c r="D146" i="5"/>
  <c r="D139" i="5"/>
  <c r="D143" i="5"/>
  <c r="D148" i="5"/>
  <c r="H17" i="13"/>
  <c r="I17" i="13" s="1"/>
  <c r="L17" i="13" s="1"/>
  <c r="D147" i="5"/>
  <c r="D140" i="5"/>
  <c r="D144" i="5"/>
  <c r="D149" i="5"/>
  <c r="C141" i="5"/>
  <c r="C145" i="5"/>
  <c r="C47" i="6" s="1"/>
  <c r="D47" i="6" s="1"/>
  <c r="B61" i="6" s="1"/>
  <c r="D61" i="6" s="1"/>
  <c r="C149" i="5"/>
  <c r="D141" i="5"/>
  <c r="H8" i="13"/>
  <c r="I8" i="13" s="1"/>
  <c r="L8" i="13" s="1"/>
  <c r="H10" i="13"/>
  <c r="I10" i="13" s="1"/>
  <c r="L10" i="13" s="1"/>
  <c r="H19" i="13"/>
  <c r="I19" i="13" s="1"/>
  <c r="L19" i="13" s="1"/>
  <c r="H18" i="13"/>
  <c r="I18" i="13" s="1"/>
  <c r="L18" i="13" s="1"/>
  <c r="C18" i="6"/>
  <c r="C19" i="6" s="1"/>
  <c r="C140" i="5"/>
  <c r="C139" i="5"/>
  <c r="L30" i="23" l="1"/>
  <c r="G9" i="22"/>
  <c r="H9" i="22" s="1"/>
  <c r="I9" i="22" s="1"/>
  <c r="L9" i="22" s="1"/>
  <c r="E5" i="22"/>
  <c r="H5" i="22" s="1"/>
  <c r="I5" i="22" s="1"/>
  <c r="L5" i="22" s="1"/>
  <c r="H31" i="20"/>
  <c r="C151" i="5"/>
  <c r="C48" i="6"/>
  <c r="D48" i="6" s="1"/>
  <c r="B62" i="6" s="1"/>
  <c r="F149" i="5"/>
  <c r="C46" i="6"/>
  <c r="D46" i="6" s="1"/>
  <c r="B60" i="6" s="1"/>
  <c r="D60" i="6" s="1"/>
  <c r="D31" i="20"/>
  <c r="I31" i="20" s="1"/>
  <c r="E31" i="20"/>
  <c r="D18" i="22" s="1"/>
  <c r="G32" i="23"/>
  <c r="G32" i="20"/>
  <c r="J32" i="20" s="1"/>
  <c r="F19" i="22"/>
  <c r="H19" i="20"/>
  <c r="D6" i="22"/>
  <c r="E17" i="22"/>
  <c r="H17" i="22" s="1"/>
  <c r="I17" i="22" s="1"/>
  <c r="L17" i="22" s="1"/>
  <c r="G14" i="22"/>
  <c r="H14" i="22" s="1"/>
  <c r="I14" i="22" s="1"/>
  <c r="L14" i="22" s="1"/>
  <c r="E10" i="22"/>
  <c r="G10" i="22"/>
  <c r="G7" i="22"/>
  <c r="E7" i="22"/>
  <c r="C152" i="5"/>
  <c r="C153" i="5" s="1"/>
  <c r="C49" i="6"/>
  <c r="D49" i="6" s="1"/>
  <c r="B63" i="6" s="1"/>
  <c r="C45" i="6"/>
  <c r="D45" i="6" s="1"/>
  <c r="B59" i="6" s="1"/>
  <c r="D59" i="6" s="1"/>
  <c r="C72" i="6"/>
  <c r="D72" i="6" s="1"/>
  <c r="E72" i="6" s="1"/>
  <c r="C68" i="6"/>
  <c r="D68" i="6" s="1"/>
  <c r="E68" i="6" s="1"/>
  <c r="C64" i="6"/>
  <c r="D64" i="6" s="1"/>
  <c r="E64" i="6" s="1"/>
  <c r="C74" i="6"/>
  <c r="D74" i="6" s="1"/>
  <c r="E74" i="6" s="1"/>
  <c r="C70" i="6"/>
  <c r="D70" i="6" s="1"/>
  <c r="E70" i="6" s="1"/>
  <c r="C66" i="6"/>
  <c r="D66" i="6" s="1"/>
  <c r="E66" i="6" s="1"/>
  <c r="C69" i="6"/>
  <c r="D69" i="6" s="1"/>
  <c r="E69" i="6" s="1"/>
  <c r="C65" i="6"/>
  <c r="D65" i="6" s="1"/>
  <c r="E65" i="6" s="1"/>
  <c r="C75" i="6"/>
  <c r="D75" i="6" s="1"/>
  <c r="E75" i="6" s="1"/>
  <c r="C71" i="6"/>
  <c r="D71" i="6" s="1"/>
  <c r="E71" i="6" s="1"/>
  <c r="C67" i="6"/>
  <c r="D67" i="6" s="1"/>
  <c r="E67" i="6" s="1"/>
  <c r="C63" i="6"/>
  <c r="C62" i="6"/>
  <c r="C73" i="6"/>
  <c r="D73" i="6" s="1"/>
  <c r="E73" i="6" s="1"/>
  <c r="C44" i="6"/>
  <c r="D44" i="6" s="1"/>
  <c r="B58" i="6" s="1"/>
  <c r="D58" i="6" s="1"/>
  <c r="D151" i="5"/>
  <c r="C43" i="6"/>
  <c r="D43" i="6" s="1"/>
  <c r="B57" i="6" s="1"/>
  <c r="D18" i="4"/>
  <c r="D17" i="4"/>
  <c r="D16" i="4"/>
  <c r="D15" i="4"/>
  <c r="D14" i="4"/>
  <c r="D13" i="4"/>
  <c r="D12" i="4"/>
  <c r="D11" i="4"/>
  <c r="D10" i="4"/>
  <c r="D9" i="4"/>
  <c r="D8" i="4"/>
  <c r="D24" i="3"/>
  <c r="E24" i="3" s="1"/>
  <c r="D23" i="3"/>
  <c r="E23" i="3" s="1"/>
  <c r="D22" i="3"/>
  <c r="E22" i="3" s="1"/>
  <c r="D21" i="3"/>
  <c r="E21" i="3" s="1"/>
  <c r="D20" i="3"/>
  <c r="E20" i="3" s="1"/>
  <c r="D19" i="3"/>
  <c r="E19" i="3" s="1"/>
  <c r="D18" i="3"/>
  <c r="E18" i="3" s="1"/>
  <c r="D17" i="3"/>
  <c r="E17" i="3" s="1"/>
  <c r="D16" i="3"/>
  <c r="E16" i="3" s="1"/>
  <c r="D15" i="3"/>
  <c r="E15" i="3" s="1"/>
  <c r="D14" i="3"/>
  <c r="E14" i="3" s="1"/>
  <c r="D13" i="3"/>
  <c r="E13" i="3" s="1"/>
  <c r="D12" i="3"/>
  <c r="E12" i="3" s="1"/>
  <c r="D11" i="3"/>
  <c r="E11" i="3" s="1"/>
  <c r="D10" i="3"/>
  <c r="E10" i="3" s="1"/>
  <c r="D9" i="3"/>
  <c r="E9" i="3" s="1"/>
  <c r="D8" i="3"/>
  <c r="E8" i="3" s="1"/>
  <c r="D7" i="3"/>
  <c r="E7" i="3" s="1"/>
  <c r="D6" i="3"/>
  <c r="E6" i="3" s="1"/>
  <c r="D5" i="3"/>
  <c r="E5" i="3" s="1"/>
  <c r="L31" i="23" l="1"/>
  <c r="J32" i="23"/>
  <c r="K32" i="20"/>
  <c r="L32" i="20" s="1"/>
  <c r="D37" i="12"/>
  <c r="D43" i="12"/>
  <c r="M13" i="22"/>
  <c r="N13" i="22" s="1"/>
  <c r="M13" i="25"/>
  <c r="M13" i="13"/>
  <c r="N13" i="13" s="1"/>
  <c r="M8" i="22"/>
  <c r="N8" i="22" s="1"/>
  <c r="M8" i="25"/>
  <c r="M8" i="13"/>
  <c r="N8" i="13" s="1"/>
  <c r="D63" i="6"/>
  <c r="E63" i="6" s="1"/>
  <c r="G18" i="22"/>
  <c r="E18" i="22"/>
  <c r="M17" i="22"/>
  <c r="N17" i="22" s="1"/>
  <c r="M17" i="25"/>
  <c r="M17" i="13"/>
  <c r="N17" i="13" s="1"/>
  <c r="M15" i="25"/>
  <c r="M15" i="22"/>
  <c r="N15" i="22" s="1"/>
  <c r="M15" i="13"/>
  <c r="N15" i="13" s="1"/>
  <c r="M10" i="22"/>
  <c r="M10" i="25"/>
  <c r="M10" i="13"/>
  <c r="N10" i="13" s="1"/>
  <c r="M12" i="25"/>
  <c r="M12" i="22"/>
  <c r="N12" i="22" s="1"/>
  <c r="M12" i="13"/>
  <c r="N12" i="13" s="1"/>
  <c r="D32" i="20"/>
  <c r="F32" i="20"/>
  <c r="H32" i="20" s="1"/>
  <c r="E32" i="20"/>
  <c r="D19" i="22" s="1"/>
  <c r="M9" i="22"/>
  <c r="N9" i="22" s="1"/>
  <c r="M9" i="25"/>
  <c r="M9" i="13"/>
  <c r="N9" i="13" s="1"/>
  <c r="M18" i="22"/>
  <c r="M18" i="25"/>
  <c r="M18" i="13"/>
  <c r="N18" i="13" s="1"/>
  <c r="M11" i="25"/>
  <c r="M11" i="22"/>
  <c r="M11" i="13"/>
  <c r="M19" i="25"/>
  <c r="M19" i="22"/>
  <c r="M19" i="13"/>
  <c r="N19" i="13" s="1"/>
  <c r="M14" i="22"/>
  <c r="N14" i="22" s="1"/>
  <c r="M14" i="25"/>
  <c r="M14" i="13"/>
  <c r="N14" i="13" s="1"/>
  <c r="M16" i="25"/>
  <c r="M16" i="22"/>
  <c r="M16" i="13"/>
  <c r="H7" i="22"/>
  <c r="I7" i="22" s="1"/>
  <c r="L7" i="22" s="1"/>
  <c r="H10" i="22"/>
  <c r="I10" i="22" s="1"/>
  <c r="L10" i="22" s="1"/>
  <c r="J6" i="3"/>
  <c r="J11" i="3"/>
  <c r="J16" i="3"/>
  <c r="D57" i="6"/>
  <c r="B76" i="6"/>
  <c r="C76" i="6"/>
  <c r="D152" i="5"/>
  <c r="D153" i="5" s="1"/>
  <c r="C154" i="5" s="1"/>
  <c r="D62" i="6"/>
  <c r="E62" i="6" s="1"/>
  <c r="K32" i="23" l="1"/>
  <c r="L32" i="23" s="1"/>
  <c r="D33" i="20"/>
  <c r="I32" i="20"/>
  <c r="M6" i="22"/>
  <c r="M6" i="25"/>
  <c r="M6" i="13"/>
  <c r="N10" i="22"/>
  <c r="M7" i="25"/>
  <c r="M7" i="22"/>
  <c r="N7" i="22" s="1"/>
  <c r="M7" i="13"/>
  <c r="N7" i="13" s="1"/>
  <c r="E19" i="22"/>
  <c r="G19" i="22"/>
  <c r="H18" i="22"/>
  <c r="I18" i="22" s="1"/>
  <c r="L18" i="22" s="1"/>
  <c r="N18" i="22" s="1"/>
  <c r="D76" i="6"/>
  <c r="E61" i="6"/>
  <c r="F24" i="12"/>
  <c r="H19" i="22" l="1"/>
  <c r="I19" i="22" s="1"/>
  <c r="L19" i="22" s="1"/>
  <c r="N19" i="22" s="1"/>
  <c r="M5" i="22"/>
  <c r="N5" i="22" s="1"/>
  <c r="M5" i="25"/>
  <c r="M5" i="13"/>
  <c r="N5" i="13" s="1"/>
  <c r="E19" i="12"/>
  <c r="F19" i="12"/>
  <c r="I19" i="12"/>
  <c r="G24" i="12"/>
  <c r="J24" i="12" s="1"/>
  <c r="K24" i="12" s="1"/>
  <c r="L24" i="12" s="1"/>
  <c r="K19" i="12"/>
  <c r="F29" i="12"/>
  <c r="E29" i="12"/>
  <c r="D29" i="12"/>
  <c r="I29" i="12" s="1"/>
  <c r="E24" i="12"/>
  <c r="D24" i="12"/>
  <c r="G29" i="12"/>
  <c r="J29" i="12" s="1"/>
  <c r="K29" i="12" s="1"/>
  <c r="L29" i="12" l="1"/>
  <c r="E38" i="12"/>
  <c r="E42" i="12"/>
  <c r="E44" i="12" s="1"/>
  <c r="F44" i="12"/>
  <c r="I24" i="12"/>
  <c r="D33" i="12"/>
  <c r="D36" i="12" s="1"/>
  <c r="L19" i="12"/>
  <c r="H24" i="12"/>
  <c r="D16" i="13"/>
  <c r="G16" i="13" s="1"/>
  <c r="D11" i="13"/>
  <c r="G11" i="13" s="1"/>
  <c r="D6" i="13"/>
  <c r="G6" i="13" s="1"/>
  <c r="H29" i="12"/>
  <c r="H19" i="12"/>
  <c r="F42" i="12" l="1"/>
  <c r="D38" i="12"/>
  <c r="F38" i="12"/>
  <c r="E6" i="13"/>
  <c r="H6" i="13" s="1"/>
  <c r="E16" i="13"/>
  <c r="H16" i="13" s="1"/>
  <c r="I16" i="13" s="1"/>
  <c r="L16" i="13" s="1"/>
  <c r="N16" i="13" s="1"/>
  <c r="E11" i="22"/>
  <c r="G11" i="22"/>
  <c r="E6" i="22"/>
  <c r="G6" i="22"/>
  <c r="E16" i="22"/>
  <c r="G16" i="22"/>
  <c r="E11" i="13"/>
  <c r="H11" i="13" s="1"/>
  <c r="I11" i="13" l="1"/>
  <c r="L11" i="13" s="1"/>
  <c r="N11" i="13" s="1"/>
  <c r="I6" i="13"/>
  <c r="L6" i="13" s="1"/>
  <c r="H6" i="22"/>
  <c r="I6" i="22" s="1"/>
  <c r="L6" i="22" s="1"/>
  <c r="N6" i="22" s="1"/>
  <c r="H16" i="22"/>
  <c r="I16" i="22" s="1"/>
  <c r="L16" i="22" s="1"/>
  <c r="N16" i="22" s="1"/>
  <c r="H11" i="22"/>
  <c r="I11" i="22" s="1"/>
  <c r="L11" i="22" s="1"/>
  <c r="N11" i="22" s="1"/>
  <c r="N6" i="13" l="1"/>
  <c r="O5" i="13" s="1"/>
  <c r="K28" i="13"/>
  <c r="O5" i="22"/>
  <c r="B14" i="16"/>
  <c r="K23" i="13" l="1"/>
  <c r="L23" i="13" s="1"/>
  <c r="B38" i="16"/>
  <c r="B20" i="16"/>
  <c r="B60" i="16"/>
  <c r="B70" i="16"/>
  <c r="B59" i="16"/>
  <c r="B76" i="16"/>
  <c r="B25" i="16"/>
  <c r="B48" i="16"/>
  <c r="B62" i="16"/>
  <c r="B56" i="16"/>
  <c r="B34" i="16"/>
  <c r="B32" i="16"/>
  <c r="B47" i="16"/>
  <c r="B37" i="16"/>
  <c r="B31" i="16"/>
  <c r="B65" i="16"/>
  <c r="B35" i="16"/>
  <c r="B54" i="16"/>
  <c r="B71" i="16"/>
  <c r="B29" i="16"/>
  <c r="B30" i="16"/>
  <c r="B73" i="16"/>
  <c r="B67" i="16"/>
  <c r="B27" i="16"/>
  <c r="B40" i="16"/>
  <c r="B39" i="16"/>
  <c r="D29" i="16" s="1"/>
  <c r="B66" i="16"/>
  <c r="B63" i="16"/>
  <c r="B58" i="16"/>
  <c r="D20" i="16"/>
  <c r="B69" i="16"/>
  <c r="B33" i="16"/>
  <c r="B22" i="16"/>
  <c r="B45" i="16"/>
  <c r="B26" i="16"/>
  <c r="B64" i="16"/>
  <c r="B50" i="16"/>
  <c r="B41" i="16"/>
  <c r="B21" i="16"/>
  <c r="B36" i="16"/>
  <c r="B68" i="16"/>
  <c r="B53" i="16"/>
  <c r="B57" i="16"/>
  <c r="B74" i="16"/>
  <c r="B44" i="16"/>
  <c r="B75" i="16"/>
  <c r="B43" i="16"/>
  <c r="B72" i="16"/>
  <c r="B52" i="16"/>
  <c r="B46" i="16"/>
  <c r="B28" i="16"/>
  <c r="B23" i="16"/>
  <c r="B49" i="16"/>
  <c r="B24" i="16"/>
  <c r="B51" i="16"/>
  <c r="B42" i="16"/>
  <c r="B55" i="16"/>
  <c r="B61" i="16"/>
  <c r="F10" i="25" l="1"/>
  <c r="D23" i="23"/>
  <c r="I23" i="23" s="1"/>
  <c r="D25" i="16"/>
  <c r="D26" i="16"/>
  <c r="D27" i="16"/>
  <c r="D33" i="16"/>
  <c r="D37" i="16"/>
  <c r="D24" i="16"/>
  <c r="D23" i="16"/>
  <c r="D22" i="16"/>
  <c r="D38" i="16"/>
  <c r="D31" i="16"/>
  <c r="D36" i="16"/>
  <c r="D32" i="16"/>
  <c r="D35" i="16"/>
  <c r="D21" i="16"/>
  <c r="D30" i="16"/>
  <c r="D28" i="16"/>
  <c r="D34" i="16"/>
  <c r="F15" i="25" l="1"/>
  <c r="E28" i="23"/>
  <c r="D15" i="25" s="1"/>
  <c r="F9" i="25"/>
  <c r="D22" i="23"/>
  <c r="I22" i="23" s="1"/>
  <c r="F11" i="25"/>
  <c r="F14" i="25"/>
  <c r="F27" i="23"/>
  <c r="H27" i="23" s="1"/>
  <c r="F16" i="25"/>
  <c r="E29" i="23"/>
  <c r="D16" i="25" s="1"/>
  <c r="F19" i="25"/>
  <c r="D32" i="23"/>
  <c r="I32" i="23" s="1"/>
  <c r="F7" i="25"/>
  <c r="D20" i="23"/>
  <c r="I20" i="23" s="1"/>
  <c r="F13" i="25"/>
  <c r="D26" i="23"/>
  <c r="I26" i="23" s="1"/>
  <c r="F18" i="25"/>
  <c r="F6" i="25"/>
  <c r="D19" i="23"/>
  <c r="I19" i="23" s="1"/>
  <c r="F17" i="25"/>
  <c r="F30" i="23"/>
  <c r="H30" i="23" s="1"/>
  <c r="F12" i="25"/>
  <c r="E25" i="23"/>
  <c r="D12" i="25" s="1"/>
  <c r="F5" i="25"/>
  <c r="F8" i="25"/>
  <c r="E23" i="23"/>
  <c r="D10" i="25" s="1"/>
  <c r="G10" i="25" s="1"/>
  <c r="F23" i="23"/>
  <c r="H23" i="23" s="1"/>
  <c r="D24" i="23"/>
  <c r="D27" i="23" l="1"/>
  <c r="I27" i="23" s="1"/>
  <c r="E27" i="23"/>
  <c r="D14" i="25" s="1"/>
  <c r="E14" i="25" s="1"/>
  <c r="F32" i="23"/>
  <c r="H32" i="23" s="1"/>
  <c r="D29" i="23"/>
  <c r="E10" i="25"/>
  <c r="H10" i="25" s="1"/>
  <c r="I10" i="25" s="1"/>
  <c r="L10" i="25" s="1"/>
  <c r="N10" i="25" s="1"/>
  <c r="E26" i="23"/>
  <c r="D13" i="25" s="1"/>
  <c r="G13" i="25" s="1"/>
  <c r="F20" i="23"/>
  <c r="H20" i="23" s="1"/>
  <c r="F26" i="23"/>
  <c r="H26" i="23" s="1"/>
  <c r="E20" i="23"/>
  <c r="D7" i="25" s="1"/>
  <c r="E7" i="25" s="1"/>
  <c r="E32" i="23"/>
  <c r="D19" i="25" s="1"/>
  <c r="G19" i="25" s="1"/>
  <c r="F19" i="23"/>
  <c r="H19" i="23" s="1"/>
  <c r="E22" i="23"/>
  <c r="D9" i="25" s="1"/>
  <c r="E9" i="25" s="1"/>
  <c r="F29" i="23"/>
  <c r="H29" i="23" s="1"/>
  <c r="E24" i="23"/>
  <c r="D11" i="25" s="1"/>
  <c r="E11" i="25" s="1"/>
  <c r="F28" i="23"/>
  <c r="H28" i="23" s="1"/>
  <c r="F22" i="23"/>
  <c r="H22" i="23" s="1"/>
  <c r="D28" i="23"/>
  <c r="I28" i="23" s="1"/>
  <c r="D30" i="23"/>
  <c r="I30" i="23" s="1"/>
  <c r="E30" i="23"/>
  <c r="D17" i="25" s="1"/>
  <c r="E17" i="25" s="1"/>
  <c r="F25" i="23"/>
  <c r="H25" i="23" s="1"/>
  <c r="D25" i="23"/>
  <c r="I25" i="23" s="1"/>
  <c r="E19" i="23"/>
  <c r="D6" i="25" s="1"/>
  <c r="G6" i="25" s="1"/>
  <c r="F24" i="23"/>
  <c r="H24" i="23" s="1"/>
  <c r="D18" i="23"/>
  <c r="I18" i="23" s="1"/>
  <c r="E18" i="23"/>
  <c r="D5" i="25" s="1"/>
  <c r="F18" i="23"/>
  <c r="H18" i="23" s="1"/>
  <c r="E21" i="23"/>
  <c r="D8" i="25" s="1"/>
  <c r="E8" i="25" s="1"/>
  <c r="F21" i="23"/>
  <c r="H21" i="23" s="1"/>
  <c r="D21" i="23"/>
  <c r="I21" i="23" s="1"/>
  <c r="E31" i="23"/>
  <c r="D18" i="25" s="1"/>
  <c r="F31" i="23"/>
  <c r="H31" i="23" s="1"/>
  <c r="D31" i="23"/>
  <c r="I31" i="23" s="1"/>
  <c r="E16" i="25"/>
  <c r="G16" i="25"/>
  <c r="E15" i="25"/>
  <c r="G15" i="25"/>
  <c r="E12" i="25"/>
  <c r="G12" i="25"/>
  <c r="E13" i="25" l="1"/>
  <c r="H13" i="25" s="1"/>
  <c r="I13" i="25" s="1"/>
  <c r="L13" i="25" s="1"/>
  <c r="N13" i="25" s="1"/>
  <c r="G14" i="25"/>
  <c r="H14" i="25" s="1"/>
  <c r="I14" i="25" s="1"/>
  <c r="L14" i="25" s="1"/>
  <c r="N14" i="25" s="1"/>
  <c r="G7" i="25"/>
  <c r="H7" i="25" s="1"/>
  <c r="I7" i="25" s="1"/>
  <c r="L7" i="25" s="1"/>
  <c r="N7" i="25" s="1"/>
  <c r="G11" i="25"/>
  <c r="H11" i="25" s="1"/>
  <c r="I11" i="25" s="1"/>
  <c r="L11" i="25" s="1"/>
  <c r="N11" i="25" s="1"/>
  <c r="G9" i="25"/>
  <c r="H9" i="25" s="1"/>
  <c r="I9" i="25" s="1"/>
  <c r="L9" i="25" s="1"/>
  <c r="N9" i="25" s="1"/>
  <c r="E19" i="25"/>
  <c r="H19" i="25" s="1"/>
  <c r="I19" i="25" s="1"/>
  <c r="L19" i="25" s="1"/>
  <c r="N19" i="25" s="1"/>
  <c r="E6" i="25"/>
  <c r="H6" i="25" s="1"/>
  <c r="I6" i="25" s="1"/>
  <c r="D33" i="23"/>
  <c r="H12" i="25"/>
  <c r="I12" i="25" s="1"/>
  <c r="L12" i="25" s="1"/>
  <c r="N12" i="25" s="1"/>
  <c r="G17" i="25"/>
  <c r="H17" i="25" s="1"/>
  <c r="I17" i="25" s="1"/>
  <c r="L17" i="25" s="1"/>
  <c r="N17" i="25" s="1"/>
  <c r="E5" i="25"/>
  <c r="G5" i="25"/>
  <c r="H16" i="25"/>
  <c r="I16" i="25" s="1"/>
  <c r="L16" i="25" s="1"/>
  <c r="N16" i="25" s="1"/>
  <c r="G18" i="25"/>
  <c r="E18" i="25"/>
  <c r="G8" i="25"/>
  <c r="H8" i="25" s="1"/>
  <c r="I8" i="25" s="1"/>
  <c r="L8" i="25" s="1"/>
  <c r="N8" i="25" s="1"/>
  <c r="H15" i="25"/>
  <c r="I15" i="25" s="1"/>
  <c r="L15" i="25" s="1"/>
  <c r="N15" i="25" s="1"/>
  <c r="H5" i="25" l="1"/>
  <c r="I5" i="25" s="1"/>
  <c r="L5" i="25" s="1"/>
  <c r="N5" i="25" s="1"/>
  <c r="L6" i="25"/>
  <c r="N6" i="25" s="1"/>
  <c r="H18" i="25"/>
  <c r="I18" i="25" s="1"/>
  <c r="L18" i="25" s="1"/>
  <c r="N18" i="25" s="1"/>
  <c r="O5" i="25" l="1"/>
  <c r="K24" i="13" s="1"/>
  <c r="L24" i="13" s="1"/>
</calcChain>
</file>

<file path=xl/sharedStrings.xml><?xml version="1.0" encoding="utf-8"?>
<sst xmlns="http://schemas.openxmlformats.org/spreadsheetml/2006/main" count="684" uniqueCount="355">
  <si>
    <t xml:space="preserve">This file documents the parameters used in the economic surplus formulas. </t>
  </si>
  <si>
    <t>Value</t>
  </si>
  <si>
    <t>unit</t>
  </si>
  <si>
    <t>source</t>
  </si>
  <si>
    <t>note</t>
  </si>
  <si>
    <t>U. S. Supply elasticity</t>
  </si>
  <si>
    <t>U.S. Demand elasticity</t>
  </si>
  <si>
    <r>
      <t xml:space="preserve"> USA export demand elasticit</t>
    </r>
    <r>
      <rPr>
        <sz val="12"/>
        <rFont val="Arial"/>
        <family val="2"/>
      </rPr>
      <t>y</t>
    </r>
  </si>
  <si>
    <t xml:space="preserve">Estmated uncontrolled yield loss </t>
  </si>
  <si>
    <t>$</t>
  </si>
  <si>
    <t>Inflation rate</t>
  </si>
  <si>
    <t>Discount rate</t>
  </si>
  <si>
    <t>Lybbert et al., 2014</t>
  </si>
  <si>
    <t>Masuda and Goldsmith, 2009</t>
  </si>
  <si>
    <t>Reimer et al., 2012</t>
  </si>
  <si>
    <t xml:space="preserve"> percent</t>
  </si>
  <si>
    <t>Roy et al., 1997</t>
  </si>
  <si>
    <t>Estmated yield loss under fluopyram</t>
  </si>
  <si>
    <t>percentage of Fusarium virguliforme infested soybean area</t>
  </si>
  <si>
    <t>Fluopyram amended treatment per acre</t>
  </si>
  <si>
    <t>Assumption:</t>
  </si>
  <si>
    <t>Country interest is a large export country which can influence the world price.</t>
  </si>
  <si>
    <t xml:space="preserve">No distortion policies. </t>
  </si>
  <si>
    <t>Formula</t>
  </si>
  <si>
    <t>Home country effects:</t>
  </si>
  <si>
    <r>
      <t>Δ</t>
    </r>
    <r>
      <rPr>
        <sz val="12"/>
        <color theme="1"/>
        <rFont val="Calibri"/>
        <family val="2"/>
        <scheme val="minor"/>
      </rPr>
      <t>CSa=P*Ca*Z*(1+0.5Z</t>
    </r>
    <r>
      <rPr>
        <sz val="12"/>
        <rFont val="Arial"/>
        <family val="2"/>
      </rPr>
      <t>η</t>
    </r>
    <r>
      <rPr>
        <sz val="10"/>
        <rFont val="Arial"/>
        <family val="2"/>
      </rPr>
      <t>a</t>
    </r>
    <r>
      <rPr>
        <sz val="12"/>
        <color theme="1"/>
        <rFont val="Calibri"/>
        <family val="2"/>
        <scheme val="minor"/>
      </rPr>
      <t>)</t>
    </r>
  </si>
  <si>
    <t>Where</t>
  </si>
  <si>
    <t>K is the vertical shift of the supply function expressed as a proportion of the initial price</t>
  </si>
  <si>
    <r>
      <t>ΔPSa=P*Qa*(K-Z)(1+0.5Z</t>
    </r>
    <r>
      <rPr>
        <sz val="12"/>
        <rFont val="Arial"/>
        <family val="2"/>
      </rPr>
      <t>ε</t>
    </r>
    <r>
      <rPr>
        <sz val="10"/>
        <rFont val="Arial"/>
        <family val="2"/>
      </rPr>
      <t>a)</t>
    </r>
  </si>
  <si>
    <r>
      <t xml:space="preserve"> Z =K</t>
    </r>
    <r>
      <rPr>
        <sz val="10"/>
        <rFont val="Arial"/>
        <family val="2"/>
      </rPr>
      <t>εa</t>
    </r>
    <r>
      <rPr>
        <sz val="12"/>
        <color theme="1"/>
        <rFont val="Calibri"/>
        <family val="2"/>
        <scheme val="minor"/>
      </rPr>
      <t>/(</t>
    </r>
    <r>
      <rPr>
        <sz val="10"/>
        <rFont val="Arial"/>
        <family val="2"/>
      </rPr>
      <t>εa</t>
    </r>
    <r>
      <rPr>
        <sz val="12"/>
        <color theme="1"/>
        <rFont val="Calibri"/>
        <family val="2"/>
        <scheme val="minor"/>
      </rPr>
      <t>+</t>
    </r>
    <r>
      <rPr>
        <sz val="10"/>
        <rFont val="Arial"/>
        <family val="2"/>
      </rPr>
      <t xml:space="preserve">ηa*Sa+(1-Sa)*ηb </t>
    </r>
    <r>
      <rPr>
        <sz val="12"/>
        <color theme="1"/>
        <rFont val="Calibri"/>
        <family val="2"/>
        <scheme val="minor"/>
      </rPr>
      <t>) is the change in price relative to the initial value, due to supply shift</t>
    </r>
  </si>
  <si>
    <t>ΔTS=ΔCS+ΔPS</t>
  </si>
  <si>
    <t xml:space="preserve">          C is the consumption</t>
  </si>
  <si>
    <t>Rest of the world</t>
  </si>
  <si>
    <t xml:space="preserve">           Q is the production</t>
  </si>
  <si>
    <r>
      <t>ΔCSb=P*Cb*Z*(1+0.5Z</t>
    </r>
    <r>
      <rPr>
        <sz val="12"/>
        <rFont val="Arial"/>
        <family val="2"/>
      </rPr>
      <t>η</t>
    </r>
    <r>
      <rPr>
        <sz val="12"/>
        <color theme="1"/>
        <rFont val="Calibri"/>
        <family val="2"/>
        <scheme val="minor"/>
      </rPr>
      <t>b)</t>
    </r>
  </si>
  <si>
    <r>
      <t>ΔPSb=-P*Qb*Z(1+0.5Z</t>
    </r>
    <r>
      <rPr>
        <sz val="12"/>
        <rFont val="Arial"/>
        <family val="2"/>
      </rPr>
      <t>ε</t>
    </r>
    <r>
      <rPr>
        <sz val="10"/>
        <rFont val="Arial"/>
        <family val="2"/>
      </rPr>
      <t>b)</t>
    </r>
  </si>
  <si>
    <t>Gaspar et al., 2017</t>
  </si>
  <si>
    <t xml:space="preserve">Inflation report from 'Economics Report of the President' from March 2019. </t>
  </si>
  <si>
    <t>Year</t>
  </si>
  <si>
    <t>Incidence (%)</t>
  </si>
  <si>
    <t>Bushels Harvested (bu)</t>
  </si>
  <si>
    <t>Incidence is calcuated from dividing the average percent yield loss by 10% severity (Roy et al., 1997)</t>
  </si>
  <si>
    <t>Percet yield loss (%)</t>
  </si>
  <si>
    <t>Previous Yield Loss and Incidence Cacluation of SDS (1996-2015)</t>
  </si>
  <si>
    <t>Estimated Incidence from 2018 to 2032</t>
  </si>
  <si>
    <t>Low Incidence (%)</t>
  </si>
  <si>
    <t>Incidence from 2018 to 2032 was caculated by applying the linear regression of non-epidemic Incidence (depdent variable) and time (indepdent variable). The equation was: y = 0.1681x - 329.39</t>
  </si>
  <si>
    <t>Epidemic Incidence was caculated from the average incidence of all four epidemic years (2000, 2004, 2010 and 2014), and then applied every five years since the previous epidemic in 2014, instead of the low incidence</t>
  </si>
  <si>
    <t>Caculated from yield loss reports (Allen et al., 2017, United Soybean Board, Crop Protection Network), details in Incidence Parameters</t>
  </si>
  <si>
    <t>Bushels Loss attributed to SDS (bu)</t>
  </si>
  <si>
    <t>Sources for Bushels Loss attributed to SDS (bu) are (Allen et al., 2017, United Soybean Board, Crop Protection Network)</t>
  </si>
  <si>
    <t xml:space="preserve">Bushels Harvested (bu) from 1996 to 2015 were taken from (NASS, 2017) </t>
  </si>
  <si>
    <t>real Price</t>
  </si>
  <si>
    <t xml:space="preserve">US Production </t>
  </si>
  <si>
    <t xml:space="preserve"> production value</t>
  </si>
  <si>
    <t>$/bu</t>
  </si>
  <si>
    <t>million bu</t>
  </si>
  <si>
    <t xml:space="preserve">Souce: </t>
  </si>
  <si>
    <t>2018-2029 from USDA long term baseline projection.</t>
  </si>
  <si>
    <t>Resarch Grants</t>
  </si>
  <si>
    <t>NCSRP 2014</t>
  </si>
  <si>
    <t>Developing an integrated management and communication plan for soybean SDS</t>
  </si>
  <si>
    <t>Grant:</t>
  </si>
  <si>
    <t>Grant portion focused on fluopyram and outreach</t>
  </si>
  <si>
    <t>This grant had four objectives. Three applied to fluopyram research: one was focused on soybean production pratices to improve root health, another risk reduction practices and communication with farmers/stakeholders</t>
  </si>
  <si>
    <t>PI: 1</t>
  </si>
  <si>
    <t>Daren Mueller (Iowa State)</t>
  </si>
  <si>
    <t>Co-PIs: 13</t>
  </si>
  <si>
    <t>Virginia Ferris (Prudue) Kirsten Wise (Prudue), Ahmad Fakhoury (Southern Illinois), Carl Bradley (Kentucky), Dean Malvick (Minnesota) and Glen Hartman (Illinois/USDA-ARS).</t>
  </si>
  <si>
    <t>J.G Arbuckle (Iowa State), Silvia Cianzio (Iowa State), Leonor Leandro (Iowa State), Gregory Tylka (Iowa State), Martin Chilvers (Michigan State), Albert Tenuta (Ontario Ministry of Agriculture), Jamal Faghihi (Purdue)</t>
  </si>
  <si>
    <t>This grant had three objectives. Three applied to fluopyram research: one was focused on soybean production pratices to improve root health, another risk reduction practices and communication with farmers/stakeholders</t>
  </si>
  <si>
    <t>Co-PIs: 9</t>
  </si>
  <si>
    <t>Virginia Ferris (Prudue) Kirsten Wise (Prudue).</t>
  </si>
  <si>
    <t>NCSRP 2015</t>
  </si>
  <si>
    <t>Iowa Soybean Association 2015</t>
  </si>
  <si>
    <t>Enhancing soybean yield through strategic use of seed treatments for seedling disease and insect pest management</t>
  </si>
  <si>
    <t>This grant had 6 objectives all relating to seed treatment testing in field settings and communication to growers</t>
  </si>
  <si>
    <t>Allison Robertson (Iowa State)</t>
  </si>
  <si>
    <t>Erin Hodgson (Iowa State), Gary Munkvold (Iowa State), Gregory Tylka (Iowa State)</t>
  </si>
  <si>
    <t>Co-PIs: 3</t>
  </si>
  <si>
    <t>NCSRP 2016</t>
  </si>
  <si>
    <t xml:space="preserve">This grant had 3 objectives and one focused on seed treatments and another focused on communication of research (50% seed treatments) </t>
  </si>
  <si>
    <t>Co-PIs: 6</t>
  </si>
  <si>
    <t>J. G. Arbuckle (Iowa State), Leonor Leandro (Iowa State), Martin Chilvers (Michigan State), Kiersten Wise (Purdue), Febina Mathew (South Dakota),Damon Smith (Wisonsin)</t>
  </si>
  <si>
    <t>NCSRP 2017</t>
  </si>
  <si>
    <t xml:space="preserve">This grant had five objectives and one focused on seed treatments and another focused on communication of research </t>
  </si>
  <si>
    <t>Michigan Soybean Promotion Committee 2016</t>
  </si>
  <si>
    <t>Soybean pathogen fungicide sensitivity screening</t>
  </si>
  <si>
    <t xml:space="preserve">This grant had four objectives, two were related to fluopyram </t>
  </si>
  <si>
    <t>Martin Chilvers (Michigan State)</t>
  </si>
  <si>
    <t>Iowa Soybean Association 2016</t>
  </si>
  <si>
    <t>Yuba Kandel (Iowa State), Leonor Leandro (Iowa State), Forest W Nutter Jr (Iowa State), Martin Chilvers (Michigan State), Dechun Wang (Michigan State)</t>
  </si>
  <si>
    <t>Albert Tenuta (Ontario Ministry of Agriculture), Kiersten Wise (Purdue) Febina Mathew (South Dakota), Carl Bradley (Kentucky) Damon Smith (Wisconsin)</t>
  </si>
  <si>
    <t>NCSRP 2018</t>
  </si>
  <si>
    <t>Yuba Kandel (Iowa State), Leonor Leandro (Iowa State), Gregory Tylka (Iowa State), Martin Chilvers (Michigan State), Dechun Wang (Michigan State)</t>
  </si>
  <si>
    <t>Albert Tenuta (Ontario Ministry of Agriculture), Kiersten Wise (Kentucky) Febina Mathew (South Dakota), Carl Bradley (Kentucky) Damon Smith (Wisconsin)</t>
  </si>
  <si>
    <t>NCSRP 2019</t>
  </si>
  <si>
    <t>Yuba Kandel (Iowa State), Leonor Leandro (Iowa State), Martin Chilvers (Michigan State), Dechun Wang (Michigan State)</t>
  </si>
  <si>
    <t>Co-PIs: 10</t>
  </si>
  <si>
    <t>Albert Tenuta (Ontario Ministry of Agriculture), Darcy Telenko (Purdue), Nathan Kleczemski (Deleware), Damon Smith (Wisconsin)</t>
  </si>
  <si>
    <t>Co-PIs: 8</t>
  </si>
  <si>
    <t>Management of Soybean Cyst Nematode through rotation of Soybean Cyst Nematode resistant varieties and other management practices</t>
  </si>
  <si>
    <t>Two objectives one on SCN management by fluopyram and communication of that research</t>
  </si>
  <si>
    <t>Marisol Quintanilla</t>
  </si>
  <si>
    <t>Time costs</t>
  </si>
  <si>
    <t>The opportunity costs of time are estimated following Song and Swinton, 2009, and are consistent across all funding sources</t>
  </si>
  <si>
    <t xml:space="preserve">Assumptions : </t>
  </si>
  <si>
    <t>Duration (year)</t>
  </si>
  <si>
    <t>PI</t>
  </si>
  <si>
    <t>Technician</t>
  </si>
  <si>
    <t>For each involved state, we assume there are one technician assist the PI for that state. If a state had more than one field trial, we increase the amount of time by number of grants awarded</t>
  </si>
  <si>
    <t>Time costs calculation</t>
  </si>
  <si>
    <t>Data taken from Michigan State Universit Compsenation</t>
  </si>
  <si>
    <t>2018-2019 FY</t>
  </si>
  <si>
    <t>Faculty</t>
  </si>
  <si>
    <t>Salary</t>
  </si>
  <si>
    <t xml:space="preserve">Fringes </t>
  </si>
  <si>
    <t>Total Salary 2018</t>
  </si>
  <si>
    <t>Staff</t>
  </si>
  <si>
    <t>we assumed there was one principal investigator and one technician for each state with a field trial would dedicate 5% of their annual time to conducting each trial</t>
  </si>
  <si>
    <t>NCSRP 2020</t>
  </si>
  <si>
    <t>Michigan Soybean Promotion Committee 2020</t>
  </si>
  <si>
    <t>Michigan Soybean Promotion Committee 2019</t>
  </si>
  <si>
    <t>total direct costs</t>
  </si>
  <si>
    <t>Indirect costs (50% direct)</t>
  </si>
  <si>
    <t>direct + indirect</t>
  </si>
  <si>
    <t>Total Costs</t>
  </si>
  <si>
    <t>Extension/outreach Personnel</t>
  </si>
  <si>
    <t>This sheet documents the breakdown of research by grant, research personnel costs and outreach costs</t>
  </si>
  <si>
    <t>Outreach costs</t>
  </si>
  <si>
    <t>Assumes 33 states with 20 agents in each state allocating 2% of annual time as in Song and Swinton, 2009.</t>
  </si>
  <si>
    <t># of person per year</t>
  </si>
  <si>
    <t>Total Salary Per Year</t>
  </si>
  <si>
    <t>Amount of Salary dedicated to Project</t>
  </si>
  <si>
    <t>Salary across all Personnel</t>
  </si>
  <si>
    <t>Indirect costs (50%)</t>
  </si>
  <si>
    <t>Total outreach Costs Annually</t>
  </si>
  <si>
    <t>Per Year</t>
  </si>
  <si>
    <t xml:space="preserve">Consist of two parts: reseach grant and opportunity costs of research participants. </t>
  </si>
  <si>
    <t>Reseach Costs</t>
  </si>
  <si>
    <t>Research Grant</t>
  </si>
  <si>
    <t>Total</t>
  </si>
  <si>
    <t>Total Grants (2014-2020)</t>
  </si>
  <si>
    <t>Reseach Grants</t>
  </si>
  <si>
    <t>Opportunity costs of time of reseach participants</t>
  </si>
  <si>
    <t>Total reseach costs</t>
  </si>
  <si>
    <t>Total reseach and outreach costs</t>
  </si>
  <si>
    <t xml:space="preserve">Reseach </t>
  </si>
  <si>
    <t>Outreach</t>
  </si>
  <si>
    <t>This sheet documents the breakdown of variable costs associated with adopting Fluopyram amended treated seeds</t>
  </si>
  <si>
    <t>Commerical Base seed treatment costs:</t>
  </si>
  <si>
    <t>Cost Per Ac</t>
  </si>
  <si>
    <t>Cost Per acre if planting 140,000 seeds (or deemed a unit) source Gaspar et al., 2017</t>
  </si>
  <si>
    <t>Commerical Base with Fluopyram</t>
  </si>
  <si>
    <t>Commerical base includes:</t>
  </si>
  <si>
    <r>
      <t>a nematistat and insecticide (</t>
    </r>
    <r>
      <rPr>
        <i/>
        <sz val="12"/>
        <color theme="1"/>
        <rFont val="Calibri"/>
        <family val="2"/>
        <scheme val="minor"/>
      </rPr>
      <t xml:space="preserve">Bacillus firmus </t>
    </r>
    <r>
      <rPr>
        <sz val="12"/>
        <color theme="1"/>
        <rFont val="Calibri"/>
        <family val="2"/>
        <scheme val="minor"/>
      </rPr>
      <t xml:space="preserve">with clothianidin) and three fungicides (metalaxyl, penflufen and prothioconazole) known not to target </t>
    </r>
    <r>
      <rPr>
        <i/>
        <sz val="12"/>
        <color theme="1"/>
        <rFont val="Calibri"/>
        <family val="2"/>
        <scheme val="minor"/>
      </rPr>
      <t>F. virguliform</t>
    </r>
    <r>
      <rPr>
        <sz val="12"/>
        <color theme="1"/>
        <rFont val="Calibri"/>
        <family val="2"/>
        <scheme val="minor"/>
      </rPr>
      <t>e</t>
    </r>
  </si>
  <si>
    <t>ITEM</t>
  </si>
  <si>
    <t>YIELD (bu/A)</t>
  </si>
  <si>
    <t>RECEIPTS</t>
  </si>
  <si>
    <t>Soybeans at $9.33/bu</t>
  </si>
  <si>
    <t>TOTAL RECEIPTS</t>
  </si>
  <si>
    <t>VARIABLE  COSTS</t>
  </si>
  <si>
    <t>Commerical Base Treated Seed</t>
  </si>
  <si>
    <t>Commerical Base with Fluopyram Treated Seed</t>
  </si>
  <si>
    <t>Fertilizer</t>
  </si>
  <si>
    <t>P2O5(lbs)</t>
  </si>
  <si>
    <t>K2O(lbs)</t>
  </si>
  <si>
    <t>Lime(ton)</t>
  </si>
  <si>
    <t>Chemicals</t>
  </si>
  <si>
    <t>Herbicide</t>
  </si>
  <si>
    <t>Insecticide</t>
  </si>
  <si>
    <t>Fungicide</t>
  </si>
  <si>
    <t>Hauling</t>
  </si>
  <si>
    <t>Fuel, Oil, Grease</t>
  </si>
  <si>
    <t>Repairs</t>
  </si>
  <si>
    <t>Crop Insurance</t>
  </si>
  <si>
    <t>Miscellaneous</t>
  </si>
  <si>
    <t>Hired Custom Work</t>
  </si>
  <si>
    <t>Int. on Oper. Cap.</t>
  </si>
  <si>
    <t>TOTAL VARIABLE COSTS</t>
  </si>
  <si>
    <t>FIXED COSTS</t>
  </si>
  <si>
    <t>Labor Charge</t>
  </si>
  <si>
    <t>Management Charge</t>
  </si>
  <si>
    <t>Mach. and Equip. Charge</t>
  </si>
  <si>
    <t>Land Charge</t>
  </si>
  <si>
    <t>TOTAL FIXED COSTS</t>
  </si>
  <si>
    <t>TOTAL COSTS</t>
  </si>
  <si>
    <t>RETURN ABOVE VARIABLE COSTS</t>
  </si>
  <si>
    <t>RETURN ABOVE VARIABLE AND LAND COSTS</t>
  </si>
  <si>
    <t>RETURN ABOVE TOTAL COSTS</t>
  </si>
  <si>
    <t>RETURN TO LAND</t>
  </si>
  <si>
    <t>RETURN TO LABOR AND MANAGEMENT</t>
  </si>
  <si>
    <t>RETURN TO LAND, LABOR, AND MANAGEMENT</t>
  </si>
  <si>
    <t>Change in Total Production Costs</t>
  </si>
  <si>
    <t>Percent change in total production costs</t>
  </si>
  <si>
    <t>To value the potential gains to growers applying fluopyram treated seeds, we compared the quantities of soybean produced with adoption of fluopyram treated seeds and quantities of soybean produced without fluopyram adoption.</t>
  </si>
  <si>
    <t xml:space="preserve">	Total	benefits	of	fluopyram	adoption	was	determined	by	the	reduction	of	economic	loss	between	soybean	production	derived from fluopyram	compared to	without	fluopyram.</t>
  </si>
  <si>
    <t>To evaluate this senario we applied damage reduction analysis</t>
  </si>
  <si>
    <t xml:space="preserve">This file documents the parameters used to deterime incidence from yield loss attributed to SDS, based on 10% severity. </t>
  </si>
  <si>
    <t>The parameters needed to complete analysis are on the following pages:</t>
  </si>
  <si>
    <t>This sheet documents the US soybean production form 2018 to 2029</t>
  </si>
  <si>
    <t>This sheet documents a total of 12 research projects were held from 2014 to 2020 focusing on fluopyram to manage SDS.</t>
  </si>
  <si>
    <r>
      <rPr>
        <b/>
        <sz val="12"/>
        <color theme="1"/>
        <rFont val="Calibri"/>
        <family val="2"/>
        <scheme val="minor"/>
      </rPr>
      <t>Economic Surplus Parameters:</t>
    </r>
    <r>
      <rPr>
        <sz val="12"/>
        <color theme="1"/>
        <rFont val="Calibri"/>
        <family val="2"/>
        <scheme val="minor"/>
      </rPr>
      <t xml:space="preserve"> This file documents the parameters used in the economic surplus formulas. </t>
    </r>
  </si>
  <si>
    <r>
      <rPr>
        <b/>
        <sz val="12"/>
        <color theme="1"/>
        <rFont val="Calibri"/>
        <family val="2"/>
        <scheme val="minor"/>
      </rPr>
      <t xml:space="preserve">Incidence Parameters: </t>
    </r>
    <r>
      <rPr>
        <sz val="12"/>
        <color theme="1"/>
        <rFont val="Calibri"/>
        <family val="2"/>
        <scheme val="minor"/>
      </rPr>
      <t xml:space="preserve">This file documents the parameters used to deterime incidence from yield loss attributed to SDS, based on 10% severity. </t>
    </r>
  </si>
  <si>
    <r>
      <rPr>
        <b/>
        <sz val="12"/>
        <color theme="1"/>
        <rFont val="Calibri"/>
        <family val="2"/>
        <scheme val="minor"/>
      </rPr>
      <t xml:space="preserve">Soybean Prices and Production: </t>
    </r>
    <r>
      <rPr>
        <sz val="12"/>
        <color theme="1"/>
        <rFont val="Calibri"/>
        <family val="2"/>
        <scheme val="minor"/>
      </rPr>
      <t>This sheet documents the US soybean production form 2018 to 2029</t>
    </r>
  </si>
  <si>
    <r>
      <rPr>
        <b/>
        <sz val="12"/>
        <color theme="1"/>
        <rFont val="Calibri"/>
        <family val="2"/>
        <scheme val="minor"/>
      </rPr>
      <t>Research Costs:</t>
    </r>
    <r>
      <rPr>
        <sz val="12"/>
        <color theme="1"/>
        <rFont val="Calibri"/>
        <family val="2"/>
        <scheme val="minor"/>
      </rPr>
      <t xml:space="preserve"> This sheet documents a total of 12 research projects were held from 2014 to 2020 focusing on fluopyram to manage SDS.</t>
    </r>
  </si>
  <si>
    <r>
      <rPr>
        <b/>
        <sz val="12"/>
        <color theme="1"/>
        <rFont val="Calibri"/>
        <family val="2"/>
        <scheme val="minor"/>
      </rPr>
      <t>Research and Outreach Costs:</t>
    </r>
    <r>
      <rPr>
        <sz val="12"/>
        <color theme="1"/>
        <rFont val="Calibri"/>
        <family val="2"/>
        <scheme val="minor"/>
      </rPr>
      <t xml:space="preserve"> This sheet documents the breakdown of research by grant, research personnel costs and outreach costs</t>
    </r>
  </si>
  <si>
    <r>
      <rPr>
        <b/>
        <sz val="12"/>
        <color theme="1"/>
        <rFont val="Calibri"/>
        <family val="2"/>
        <scheme val="minor"/>
      </rPr>
      <t>Seed Treatment Costs:</t>
    </r>
    <r>
      <rPr>
        <sz val="12"/>
        <color theme="1"/>
        <rFont val="Calibri"/>
        <family val="2"/>
        <scheme val="minor"/>
      </rPr>
      <t xml:space="preserve"> This sheet documents the breakdown of variable costs associated with adopting Fluopyram amended treated seeds</t>
    </r>
  </si>
  <si>
    <t>Time 1</t>
  </si>
  <si>
    <t>Value 1</t>
  </si>
  <si>
    <t>Time 2</t>
  </si>
  <si>
    <t>Value 2</t>
  </si>
  <si>
    <t>Peak</t>
  </si>
  <si>
    <t>Alpha</t>
  </si>
  <si>
    <t>T0</t>
  </si>
  <si>
    <t>A ceiling of 90% was assumed for maxium adoption.</t>
  </si>
  <si>
    <t>Adoption percentabes for 2016 and 2021 to model the adoption of Neonicotinoid, taken  from Tooker and Douglas 2015, as these technologies were being adopted for similar purposes of targeted pest/disease managment</t>
  </si>
  <si>
    <t>This sheet documents the  adoption path for fluopyram soybean seed treatment adoption.</t>
  </si>
  <si>
    <t>Logistical estimation of fluopyram adoption path based on neonicotinoid soybean seed treatment adoption (see Adoption Path Neonic tab).</t>
  </si>
  <si>
    <t>Logistic Adoption of fluopyram (%)</t>
  </si>
  <si>
    <t>Variable breakdown:</t>
  </si>
  <si>
    <t xml:space="preserve">Yield: </t>
  </si>
  <si>
    <t>s:</t>
  </si>
  <si>
    <t>Y':</t>
  </si>
  <si>
    <t>d:</t>
  </si>
  <si>
    <t>the damage proportion due to SDS</t>
  </si>
  <si>
    <t>f:</t>
  </si>
  <si>
    <t>Adopt%:</t>
  </si>
  <si>
    <t>the proportion of growers adoption in areas with SDS economic damage</t>
  </si>
  <si>
    <t>The model for this calculation is based on the following equation to determine yield under SDS pressure:</t>
  </si>
  <si>
    <t>Logistic Adoption of fluopyram for calculation (%)</t>
  </si>
  <si>
    <t>Soybean Quantity without adoption of fluopyram treated seeds</t>
  </si>
  <si>
    <t>Soybean Quantity with rising adoption of fluopyram treated seeds</t>
  </si>
  <si>
    <t xml:space="preserve">the amount of soybean yield (in proportion form) that is saved by the application of fluopyram to soybean seeds in SDS risk acres </t>
  </si>
  <si>
    <t>the proportion of soybean area with economic damage from SDS (see incidence parameter sheet column K)</t>
  </si>
  <si>
    <t xml:space="preserve">Year </t>
  </si>
  <si>
    <t>Annual Change in Soybean production with fluopyram adoption</t>
  </si>
  <si>
    <t>Percent (%)</t>
  </si>
  <si>
    <t>PROPOR.</t>
  </si>
  <si>
    <t>YEAR</t>
  </si>
  <si>
    <t>e</t>
  </si>
  <si>
    <t>n</t>
  </si>
  <si>
    <t>YIELD CHANGE</t>
  </si>
  <si>
    <t>GROSS PROPOR. COST CHANGE</t>
  </si>
  <si>
    <t>I. COST CHANGE PER AC</t>
  </si>
  <si>
    <t>I. COST CHANGE PER TON</t>
  </si>
  <si>
    <t>NET CHANGE</t>
  </si>
  <si>
    <t>K</t>
  </si>
  <si>
    <t>PRICE</t>
  </si>
  <si>
    <t>QUANTITY</t>
  </si>
  <si>
    <t>CTS</t>
  </si>
  <si>
    <t>COST</t>
  </si>
  <si>
    <t>BENEFIT</t>
  </si>
  <si>
    <t>NPV</t>
  </si>
  <si>
    <t>Change compared to soybean quantity projections with fluopyram</t>
  </si>
  <si>
    <t>Change compared to soybean quantity projections without fluopyram</t>
  </si>
  <si>
    <t xml:space="preserve">Change between treatments of soybean production </t>
  </si>
  <si>
    <t xml:space="preserve"> Fluopyram - USA, Open Economy</t>
  </si>
  <si>
    <r>
      <rPr>
        <b/>
        <sz val="12"/>
        <color theme="1"/>
        <rFont val="Calibri"/>
        <family val="2"/>
        <scheme val="minor"/>
      </rPr>
      <t>Adoption Path Neonic:</t>
    </r>
    <r>
      <rPr>
        <sz val="12"/>
        <color theme="1"/>
        <rFont val="Calibri"/>
        <family val="2"/>
        <scheme val="minor"/>
      </rPr>
      <t>This sheet documents the adoption path of Neonicotinoid soybean seed treatreatments, to develop a adoption path for fluopyram soybean seed treatment adoption.</t>
    </r>
  </si>
  <si>
    <r>
      <rPr>
        <b/>
        <sz val="12"/>
        <color theme="1"/>
        <rFont val="Calibri"/>
        <family val="2"/>
        <scheme val="minor"/>
      </rPr>
      <t>Adoption Path Fluopyram:</t>
    </r>
    <r>
      <rPr>
        <sz val="12"/>
        <color theme="1"/>
        <rFont val="Calibri"/>
        <family val="2"/>
        <scheme val="minor"/>
      </rPr>
      <t xml:space="preserve"> This sheet documents the  adoption path for fluopyram soybean seed treatment adoption.</t>
    </r>
  </si>
  <si>
    <t xml:space="preserve">This sheet documents the yield loss advered by using fluopyram comparing to without fluopyram use </t>
  </si>
  <si>
    <r>
      <rPr>
        <b/>
        <sz val="12"/>
        <color theme="1"/>
        <rFont val="Calibri"/>
        <family val="2"/>
        <scheme val="minor"/>
      </rPr>
      <t xml:space="preserve">Damage-Reduction Analysis: </t>
    </r>
    <r>
      <rPr>
        <sz val="12"/>
        <color theme="1"/>
        <rFont val="Calibri"/>
        <family val="2"/>
        <scheme val="minor"/>
      </rPr>
      <t xml:space="preserve">This sheet documents the yield loss advered by using fluopyram comparing to without fluopyram use </t>
    </r>
  </si>
  <si>
    <t>This sheet outlines the economic surplus analysis of the differences in soybean production between fluopyram use and no fluopyram use in SDS severe production areas</t>
  </si>
  <si>
    <r>
      <rPr>
        <b/>
        <sz val="12"/>
        <color theme="1"/>
        <rFont val="Calibri"/>
        <family val="2"/>
        <scheme val="minor"/>
      </rPr>
      <t>Economic Surplus Analysis:</t>
    </r>
    <r>
      <rPr>
        <sz val="12"/>
        <color theme="1"/>
        <rFont val="Calibri"/>
        <family val="2"/>
        <scheme val="minor"/>
      </rPr>
      <t xml:space="preserve"> This sheet outlines the economic surplus analysis of the differences in soybean production between fluopyram use and no fluopyram use in SDS severe production areas</t>
    </r>
  </si>
  <si>
    <t>Epidemic Jump in Incidence (%)</t>
  </si>
  <si>
    <t>e:</t>
  </si>
  <si>
    <t>epidemic jump in proportion with economic damage from SDS</t>
  </si>
  <si>
    <t>Costs for input into Economic Surplus Caluclation</t>
  </si>
  <si>
    <t>the damage proportion reduction from fluopyram, assumed to be 100%</t>
  </si>
  <si>
    <t>soybean yield that is SDS free, assumed to be the USDA projected soybean quantities (see soybean prices and quantities sheet)</t>
  </si>
  <si>
    <t>This sheet documents generation of parameters for the sensitivity analysis of the US soybean prices form 2018 to 2029</t>
  </si>
  <si>
    <t>Worse Case</t>
  </si>
  <si>
    <t>Best Case</t>
  </si>
  <si>
    <t>Logistical estimation of fluopyram soybean seed treatment adoptionin best case senario</t>
  </si>
  <si>
    <t>New Seed Treatment Adoption</t>
  </si>
  <si>
    <t>Baseline Estimated Incidence from 2018 to 2032</t>
  </si>
  <si>
    <t>Worse-Case Estimated Incidence from 2018 to 2032</t>
  </si>
  <si>
    <t>Best-Case Estimated Incidence from 2018 to 2032</t>
  </si>
  <si>
    <t>Worse case scenario was:</t>
  </si>
  <si>
    <t>Best case scenario was:</t>
  </si>
  <si>
    <t>Yield = (1-s-e)*Y' + s*(1-d[1-(f*Adopt%])*Y'</t>
  </si>
  <si>
    <t xml:space="preserve">the proportion of growers adoption in areas with SDS economic damage that have used seed treatments </t>
  </si>
  <si>
    <t>This sheet outlines the economic surplus analysis of the differences in soybean production between fluopyram use and no fluopyram use in SDS severe production areas under best case senario</t>
  </si>
  <si>
    <t>Oil crops outlook May 2019, https://downloads.usda.library.cornell.edu/usda-esmis/files/j098zb08p/hd76s804m/z029pd72k/OCS19e.pdf</t>
  </si>
  <si>
    <r>
      <rPr>
        <b/>
        <sz val="12"/>
        <color theme="1"/>
        <rFont val="Calibri"/>
        <family val="2"/>
        <scheme val="minor"/>
      </rPr>
      <t>Soybean Prices Sensitivity:</t>
    </r>
    <r>
      <rPr>
        <sz val="12"/>
        <color theme="1"/>
        <rFont val="Calibri"/>
        <family val="2"/>
        <scheme val="minor"/>
      </rPr>
      <t xml:space="preserve"> This sheet documents generation of parameters for the sensitivity analysis of the US soybean prices form 2018 to 2029</t>
    </r>
  </si>
  <si>
    <t>This sheet documents the adoption path of fluopyram soybean seed treatreatments with a worse case and best case adoption rate</t>
  </si>
  <si>
    <r>
      <rPr>
        <b/>
        <sz val="12"/>
        <color theme="1"/>
        <rFont val="Calibri"/>
        <family val="2"/>
        <scheme val="minor"/>
      </rPr>
      <t xml:space="preserve">Adoption Path Sensitivity: </t>
    </r>
    <r>
      <rPr>
        <sz val="12"/>
        <color theme="1"/>
        <rFont val="Calibri"/>
        <family val="2"/>
        <scheme val="minor"/>
      </rPr>
      <t>This sheet documents the adoption path of fluopyram soybean seed treatreatments with a worse case and best case adoption rate</t>
    </r>
  </si>
  <si>
    <t xml:space="preserve">This file documents the sensitivity analysis of incidence from yield loss attributed to SDS, based on 10% severity. </t>
  </si>
  <si>
    <r>
      <rPr>
        <b/>
        <sz val="12"/>
        <color theme="1"/>
        <rFont val="Calibri"/>
        <family val="2"/>
        <scheme val="minor"/>
      </rPr>
      <t>Incidence Sensitivity:</t>
    </r>
    <r>
      <rPr>
        <sz val="12"/>
        <color theme="1"/>
        <rFont val="Calibri"/>
        <family val="2"/>
        <scheme val="minor"/>
      </rPr>
      <t xml:space="preserve"> This file documents the sensitivity analysis of incidence from yield loss attributed to SDS, based on 10% severity. </t>
    </r>
  </si>
  <si>
    <t>This sheet documents the yield loss advered by using fluopyram comparing to without fluopyram use under worse case scenario</t>
  </si>
  <si>
    <r>
      <rPr>
        <b/>
        <sz val="12"/>
        <color theme="1"/>
        <rFont val="Calibri"/>
        <family val="2"/>
        <scheme val="minor"/>
      </rPr>
      <t>Damage-Reduction Analysis Worse:</t>
    </r>
    <r>
      <rPr>
        <sz val="12"/>
        <color theme="1"/>
        <rFont val="Calibri"/>
        <family val="2"/>
        <scheme val="minor"/>
      </rPr>
      <t xml:space="preserve"> This sheet documents the yield loss advered by using fluopyram comparing to without fluopyram use under worse case scenario</t>
    </r>
  </si>
  <si>
    <t>This sheet outlines the economic surplus analysis of the differences in soybean production between fluopyram use and no fluopyram use in SDS severe production areas under worse case scenario</t>
  </si>
  <si>
    <r>
      <rPr>
        <b/>
        <sz val="12"/>
        <color theme="1"/>
        <rFont val="Calibri"/>
        <family val="2"/>
        <scheme val="minor"/>
      </rPr>
      <t>Economic Analysis Worse:</t>
    </r>
    <r>
      <rPr>
        <sz val="12"/>
        <color theme="1"/>
        <rFont val="Calibri"/>
        <family val="2"/>
        <scheme val="minor"/>
      </rPr>
      <t xml:space="preserve"> This sheet outlines the economic surplus analysis of the differences in soybean production between fluopyram use and no fluopyram use in SDS severe production areas under worse case scenario</t>
    </r>
  </si>
  <si>
    <t>This sheet documents the yield loss advered by using fluopyram comparing to without fluopyram use under best case scenario</t>
  </si>
  <si>
    <r>
      <rPr>
        <b/>
        <sz val="12"/>
        <color theme="1"/>
        <rFont val="Calibri"/>
        <family val="2"/>
        <scheme val="minor"/>
      </rPr>
      <t>Damage-Reduction Analysis Best:</t>
    </r>
    <r>
      <rPr>
        <sz val="12"/>
        <color theme="1"/>
        <rFont val="Calibri"/>
        <family val="2"/>
        <scheme val="minor"/>
      </rPr>
      <t xml:space="preserve"> This sheet documents the yield loss advered by using fluopyram comparing to without fluopyram use under best case scenario</t>
    </r>
  </si>
  <si>
    <r>
      <rPr>
        <b/>
        <sz val="12"/>
        <color theme="1"/>
        <rFont val="Calibri"/>
        <family val="2"/>
        <scheme val="minor"/>
      </rPr>
      <t xml:space="preserve">Economic Analysis Best: </t>
    </r>
    <r>
      <rPr>
        <sz val="12"/>
        <color theme="1"/>
        <rFont val="Calibri"/>
        <family val="2"/>
        <scheme val="minor"/>
      </rPr>
      <t>This sheet outlines the economic surplus analysis of the differences in soybean production between fluopyram use and no fluopyram use in SDS severe production areas under best case scenario</t>
    </r>
  </si>
  <si>
    <t>bu</t>
  </si>
  <si>
    <t xml:space="preserve">Bushels </t>
  </si>
  <si>
    <t>Bushels</t>
  </si>
  <si>
    <t>Percent Price Change</t>
  </si>
  <si>
    <t>BASF Jeremiah Mullock 06/13/2019 in email</t>
  </si>
  <si>
    <t>ILeVO on soybean acres</t>
  </si>
  <si>
    <t>Acres of Soybean production planted (USDA)</t>
  </si>
  <si>
    <t>Percent Adpotion</t>
  </si>
  <si>
    <t>To create the best case senario, we adjusted to the inverse of the worse case senario, by increasing adoption by 1% in 2021.</t>
  </si>
  <si>
    <t>BASF Jeremiah Mullock 06/13/2019 in email for fluopyram acreage use</t>
  </si>
  <si>
    <t>Logistical estimation of fluopyram soybean seed treatment adoption worse case senario</t>
  </si>
  <si>
    <t>Worse-Case Adoption of Fluopyram Soybean Seed Treatments from 2018 to 2042</t>
  </si>
  <si>
    <t>Best-Case Adoption of Fluopyram Soybean Seed Treatments from 2018 to 2042</t>
  </si>
  <si>
    <t>Observed Fluopyram adoption</t>
  </si>
  <si>
    <t>Change in soybean market ($)</t>
  </si>
  <si>
    <t>Change in soybean market (%)</t>
  </si>
  <si>
    <t>Value of Annual Change in Soybean production with fluopyram adoption</t>
  </si>
  <si>
    <t>Annual bushels lost to SDS</t>
  </si>
  <si>
    <t>Value of Annual losses of Soybean production without fluopyram adoption</t>
  </si>
  <si>
    <t>Yield = (1-s-e)*Y' + s*(1-d[1-(f*(Adopt%)])*Y'</t>
  </si>
  <si>
    <t>Starting incidence rate decrease by 1 SD</t>
  </si>
  <si>
    <t>Starting incidence rate increase by 1 SD</t>
  </si>
  <si>
    <t>Incidence</t>
  </si>
  <si>
    <t>Stdev of incidence (STEYX or the standard deviation around a trend line)</t>
  </si>
  <si>
    <t>Inflation ($1 USD to June 2018 price)</t>
  </si>
  <si>
    <t>Consumer price index: https://www.bls.gov/data/inflation_calculator.htm, accessed 08/09/2019</t>
  </si>
  <si>
    <t>Soybean prices: 1996-present (https://quickstats.nass.usda.gov/results/AD714D63-991C-3952-94CF-99A721C1B6AA?pivot=short_desc) accessed 08/09/2019</t>
  </si>
  <si>
    <t>1980-1996 (https://www.ers.usda.gov/data-products/commodity-costs-and-returns/commodity-costs-and-returns/#Historical%20Costs%20and%20Returns:%20Soybeans) accessed 08/09/2019</t>
  </si>
  <si>
    <t>Soybean Prices not adjusted</t>
  </si>
  <si>
    <t>Inflation adjusted soybean prices</t>
  </si>
  <si>
    <t xml:space="preserve">Percent change from low incidence mean </t>
  </si>
  <si>
    <t>Standard deviation of incidence was calcualted by the excel function of STEYX to calculate standard devation over time of the incidence. Then the percent change of one standard deviation from the mean was added or subtracted from each incidence timepoint.</t>
  </si>
  <si>
    <t>Taking 30% decrease of soybean prices from 1 SD from mean</t>
  </si>
  <si>
    <t>standard deviation (STEYX or the standard deviation around a trend line)</t>
  </si>
  <si>
    <t>Calculation of Standard Deviation of Soybean Prices from 1980-2018</t>
  </si>
  <si>
    <t>Source</t>
  </si>
  <si>
    <t>30 yrs: 1989-2018</t>
  </si>
  <si>
    <t>Uses 30 yr value</t>
  </si>
  <si>
    <t>Worst</t>
  </si>
  <si>
    <t>Best</t>
  </si>
  <si>
    <t>Decimal Change in Sensitivity Analysis</t>
  </si>
  <si>
    <t>Taking 30% increase of soybean prices from 1 SD from mean</t>
  </si>
  <si>
    <t>Clothianidin (2012)</t>
  </si>
  <si>
    <t>Acreage</t>
  </si>
  <si>
    <t>Estimated Benefit of Fluopyram</t>
  </si>
  <si>
    <t>Yield = (1-s-e)*Y' + s*(1-d[1-f*Adopt%])*Y'+ e*(1-d[1-f*0])*Y'</t>
  </si>
  <si>
    <t>Fluopyram</t>
  </si>
  <si>
    <t>No Fluopyram</t>
  </si>
  <si>
    <t>Discounted Soybean Production (2018-2032)</t>
  </si>
  <si>
    <t>Non-Discounted Soybean Production (2018-2032)</t>
  </si>
  <si>
    <t>Dollars ($)</t>
  </si>
  <si>
    <t>Dollars ($) (in millions)</t>
  </si>
  <si>
    <t>Change Due to Fluopyram</t>
  </si>
  <si>
    <t>Total soybean market ($)</t>
  </si>
  <si>
    <t>Changes in soybean production (2018-2032) in bushels</t>
  </si>
  <si>
    <t>Change in soybean market</t>
  </si>
  <si>
    <t xml:space="preserve">Total soybean market </t>
  </si>
  <si>
    <t>Discounted</t>
  </si>
  <si>
    <t>Not Discounted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</si>
</sst>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6" formatCode="&quot;$&quot;#,##0_);[Red]\(&quot;$&quot;#,##0\)"/>
    <numFmt numFmtId="8" formatCode="&quot;$&quot;#,##0.00_);[Red]\(&quot;$&quot;#,##0.00\)"/>
    <numFmt numFmtId="43" formatCode="_(* #,##0.00_);_(* \(#,##0.00\);_(* &quot;-&quot;??_);_(@_)"/>
    <numFmt numFmtId="164" formatCode="0.00_)"/>
    <numFmt numFmtId="165" formatCode="_(* #,##0_);_(* \(#,##0\);_(* &quot;-&quot;??_);_(@_)"/>
    <numFmt numFmtId="166" formatCode="&quot;$&quot;#,##0.00"/>
    <numFmt numFmtId="167" formatCode="0.0%"/>
    <numFmt numFmtId="168" formatCode="0_)"/>
    <numFmt numFmtId="169" formatCode="0.000_)"/>
    <numFmt numFmtId="170" formatCode="0.0000_)"/>
    <numFmt numFmtId="171" formatCode="0.0000000000000000%"/>
    <numFmt numFmtId="172" formatCode="0.00000000000000%"/>
    <numFmt numFmtId="173" formatCode="0.000000000000000%"/>
  </numFmts>
  <fonts count="23" x14ac:knownFonts="1">
    <font>
      <sz val="12"/>
      <color theme="1"/>
      <name val="Calibri"/>
      <family val="2"/>
      <scheme val="minor"/>
    </font>
    <font>
      <sz val="12"/>
      <color theme="1"/>
      <name val="Calibri"/>
      <family val="2"/>
      <scheme val="minor"/>
    </font>
    <font>
      <b/>
      <sz val="12"/>
      <color theme="1"/>
      <name val="Calibri"/>
      <family val="2"/>
      <scheme val="minor"/>
    </font>
    <font>
      <sz val="10"/>
      <name val="Arial"/>
      <family val="2"/>
    </font>
    <font>
      <sz val="12"/>
      <name val="Arial"/>
      <family val="2"/>
    </font>
    <font>
      <b/>
      <sz val="10"/>
      <name val="Arial"/>
      <family val="2"/>
    </font>
    <font>
      <sz val="12"/>
      <color rgb="FF000000"/>
      <name val="Verdana"/>
      <family val="2"/>
    </font>
    <font>
      <sz val="10"/>
      <color theme="1"/>
      <name val="Geneva"/>
      <family val="2"/>
    </font>
    <font>
      <b/>
      <sz val="11"/>
      <color theme="1"/>
      <name val="Calibri"/>
      <family val="2"/>
      <scheme val="minor"/>
    </font>
    <font>
      <b/>
      <sz val="12"/>
      <color rgb="FF333333"/>
      <name val="Calibri"/>
      <family val="2"/>
      <scheme val="minor"/>
    </font>
    <font>
      <sz val="12"/>
      <color rgb="FF333333"/>
      <name val="Calibri"/>
      <family val="2"/>
      <scheme val="minor"/>
    </font>
    <font>
      <sz val="11"/>
      <color theme="1"/>
      <name val="Calibri"/>
      <family val="2"/>
      <scheme val="minor"/>
    </font>
    <font>
      <b/>
      <sz val="12"/>
      <name val="Arial"/>
      <family val="2"/>
    </font>
    <font>
      <b/>
      <i/>
      <sz val="10"/>
      <name val="Arial"/>
      <family val="2"/>
    </font>
    <font>
      <b/>
      <sz val="11"/>
      <name val="Calibri"/>
      <family val="2"/>
    </font>
    <font>
      <b/>
      <sz val="11"/>
      <name val="Calibri"/>
      <family val="2"/>
      <scheme val="minor"/>
    </font>
    <font>
      <b/>
      <sz val="10"/>
      <name val="Tahoma"/>
      <family val="2"/>
    </font>
    <font>
      <i/>
      <sz val="12"/>
      <color theme="1"/>
      <name val="Calibri"/>
      <family val="2"/>
      <scheme val="minor"/>
    </font>
    <font>
      <sz val="12"/>
      <color rgb="FF3F3F76"/>
      <name val="Calibri"/>
      <family val="2"/>
      <scheme val="minor"/>
    </font>
    <font>
      <b/>
      <sz val="12"/>
      <color rgb="FFFA7D00"/>
      <name val="Calibri"/>
      <family val="2"/>
      <scheme val="minor"/>
    </font>
    <font>
      <b/>
      <sz val="14"/>
      <color theme="1"/>
      <name val="Calibri"/>
      <family val="2"/>
      <scheme val="minor"/>
    </font>
    <font>
      <sz val="12"/>
      <color rgb="FFFF0000"/>
      <name val="Calibri"/>
      <family val="2"/>
      <scheme val="minor"/>
    </font>
    <font>
      <sz val="13"/>
      <color rgb="FF3D3D3D"/>
      <name val="Arial"/>
      <family val="2"/>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FFCC99"/>
      </patternFill>
    </fill>
    <fill>
      <patternFill patternType="solid">
        <fgColor rgb="FFF2F2F2"/>
      </patternFill>
    </fill>
  </fills>
  <borders count="5">
    <border>
      <left/>
      <right/>
      <top/>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medium">
        <color auto="1"/>
      </left>
      <right style="medium">
        <color auto="1"/>
      </right>
      <top style="medium">
        <color auto="1"/>
      </top>
      <bottom style="medium">
        <color auto="1"/>
      </bottom>
      <diagonal/>
    </border>
  </borders>
  <cellStyleXfs count="8">
    <xf numFmtId="0" fontId="0" fillId="0" borderId="0"/>
    <xf numFmtId="43" fontId="1" fillId="0" borderId="0" applyFont="0" applyFill="0" applyBorder="0" applyAlignment="0" applyProtection="0"/>
    <xf numFmtId="0" fontId="3" fillId="0" borderId="0">
      <alignment vertical="top"/>
    </xf>
    <xf numFmtId="0" fontId="3" fillId="0" borderId="0">
      <alignment vertical="top"/>
    </xf>
    <xf numFmtId="0" fontId="11" fillId="0" borderId="0"/>
    <xf numFmtId="9" fontId="1" fillId="0" borderId="0" applyFont="0" applyFill="0" applyBorder="0" applyAlignment="0" applyProtection="0"/>
    <xf numFmtId="0" fontId="18" fillId="4" borderId="3" applyNumberFormat="0" applyAlignment="0" applyProtection="0"/>
    <xf numFmtId="0" fontId="19" fillId="5" borderId="3" applyNumberFormat="0" applyAlignment="0" applyProtection="0"/>
  </cellStyleXfs>
  <cellXfs count="105">
    <xf numFmtId="0" fontId="0" fillId="0" borderId="0" xfId="0"/>
    <xf numFmtId="0" fontId="3" fillId="0" borderId="0" xfId="2" applyNumberFormat="1" applyFont="1" applyAlignment="1">
      <alignment wrapText="1" shrinkToFit="1"/>
    </xf>
    <xf numFmtId="0" fontId="3" fillId="0" borderId="0" xfId="3" applyFont="1" applyAlignment="1">
      <alignment wrapText="1"/>
    </xf>
    <xf numFmtId="10" fontId="0" fillId="0" borderId="0" xfId="0" applyNumberFormat="1"/>
    <xf numFmtId="0" fontId="1" fillId="0" borderId="0" xfId="0" applyFont="1"/>
    <xf numFmtId="0" fontId="0" fillId="0" borderId="0" xfId="0" applyAlignment="1"/>
    <xf numFmtId="0" fontId="5" fillId="0" borderId="0" xfId="0" applyFont="1" applyAlignment="1"/>
    <xf numFmtId="0" fontId="3" fillId="0" borderId="0" xfId="0" applyFont="1" applyAlignment="1"/>
    <xf numFmtId="3" fontId="6" fillId="0" borderId="0" xfId="0" applyNumberFormat="1" applyFont="1"/>
    <xf numFmtId="3" fontId="7" fillId="0" borderId="0" xfId="0" applyNumberFormat="1" applyFont="1"/>
    <xf numFmtId="3" fontId="0" fillId="0" borderId="0" xfId="0" applyNumberFormat="1"/>
    <xf numFmtId="0" fontId="0" fillId="0" borderId="0" xfId="0" applyAlignment="1">
      <alignment wrapText="1"/>
    </xf>
    <xf numFmtId="4" fontId="0" fillId="0" borderId="0" xfId="0" applyNumberFormat="1"/>
    <xf numFmtId="0" fontId="2" fillId="0" borderId="0" xfId="0" applyFont="1"/>
    <xf numFmtId="0" fontId="8" fillId="0" borderId="0" xfId="0" applyFont="1"/>
    <xf numFmtId="0" fontId="0" fillId="0" borderId="0" xfId="0" applyFont="1"/>
    <xf numFmtId="3" fontId="0" fillId="0" borderId="0" xfId="0" applyNumberFormat="1" applyFont="1"/>
    <xf numFmtId="0" fontId="9" fillId="0" borderId="0" xfId="0" applyFont="1"/>
    <xf numFmtId="0" fontId="10" fillId="0" borderId="0" xfId="0" applyFont="1"/>
    <xf numFmtId="4" fontId="10" fillId="0" borderId="0" xfId="0" applyNumberFormat="1" applyFont="1"/>
    <xf numFmtId="6" fontId="0" fillId="0" borderId="0" xfId="0" applyNumberFormat="1"/>
    <xf numFmtId="8" fontId="0" fillId="0" borderId="0" xfId="0" applyNumberFormat="1"/>
    <xf numFmtId="0" fontId="3" fillId="0" borderId="0" xfId="4" applyFont="1" applyAlignment="1"/>
    <xf numFmtId="0" fontId="3" fillId="0" borderId="0" xfId="4" applyFont="1" applyFill="1" applyAlignment="1"/>
    <xf numFmtId="0" fontId="5" fillId="0" borderId="0" xfId="4" applyFont="1" applyFill="1" applyAlignment="1"/>
    <xf numFmtId="0" fontId="12" fillId="0" borderId="0" xfId="4" applyFont="1" applyAlignment="1"/>
    <xf numFmtId="0" fontId="13" fillId="0" borderId="0" xfId="4" applyFont="1" applyAlignment="1"/>
    <xf numFmtId="0" fontId="14" fillId="0" borderId="0" xfId="4" applyFont="1" applyAlignment="1">
      <alignment horizontal="right"/>
    </xf>
    <xf numFmtId="0" fontId="15" fillId="0" borderId="0" xfId="0" applyFont="1"/>
    <xf numFmtId="0" fontId="0" fillId="0" borderId="0" xfId="0" applyAlignment="1">
      <alignment horizontal="right"/>
    </xf>
    <xf numFmtId="165" fontId="8" fillId="0" borderId="0" xfId="1" applyNumberFormat="1" applyFont="1"/>
    <xf numFmtId="165" fontId="16" fillId="0" borderId="0" xfId="1" applyNumberFormat="1" applyFont="1" applyAlignment="1">
      <alignment horizontal="right"/>
    </xf>
    <xf numFmtId="0" fontId="0" fillId="3" borderId="2" xfId="0" applyFill="1" applyBorder="1"/>
    <xf numFmtId="0" fontId="0" fillId="3" borderId="0" xfId="0" applyFill="1"/>
    <xf numFmtId="0" fontId="2" fillId="3" borderId="0" xfId="0" applyFont="1" applyFill="1"/>
    <xf numFmtId="2" fontId="0" fillId="3" borderId="0" xfId="0" applyNumberFormat="1" applyFill="1"/>
    <xf numFmtId="0" fontId="2" fillId="3" borderId="1" xfId="0" applyFont="1" applyFill="1" applyBorder="1"/>
    <xf numFmtId="0" fontId="0" fillId="3" borderId="1" xfId="0" applyFill="1" applyBorder="1"/>
    <xf numFmtId="2" fontId="0" fillId="3" borderId="1" xfId="0" applyNumberFormat="1" applyFill="1" applyBorder="1"/>
    <xf numFmtId="2" fontId="0" fillId="3" borderId="0" xfId="0" applyNumberFormat="1" applyFill="1" applyBorder="1"/>
    <xf numFmtId="2" fontId="0" fillId="3" borderId="2" xfId="0" applyNumberFormat="1" applyFill="1" applyBorder="1"/>
    <xf numFmtId="0" fontId="2" fillId="3" borderId="2" xfId="0" applyFont="1" applyFill="1" applyBorder="1"/>
    <xf numFmtId="2" fontId="0" fillId="0" borderId="2" xfId="0" applyNumberFormat="1" applyBorder="1"/>
    <xf numFmtId="0" fontId="3" fillId="2" borderId="0" xfId="2" applyNumberFormat="1" applyFill="1" applyAlignment="1">
      <alignment wrapText="1" shrinkToFit="1"/>
    </xf>
    <xf numFmtId="164" fontId="0" fillId="0" borderId="0" xfId="0" applyNumberFormat="1" applyFill="1" applyProtection="1"/>
    <xf numFmtId="37" fontId="0" fillId="0" borderId="0" xfId="0" applyNumberFormat="1" applyFill="1" applyProtection="1"/>
    <xf numFmtId="166" fontId="0" fillId="0" borderId="0" xfId="0" applyNumberFormat="1"/>
    <xf numFmtId="0" fontId="18" fillId="4" borderId="3" xfId="6"/>
    <xf numFmtId="167" fontId="18" fillId="4" borderId="3" xfId="6" applyNumberFormat="1"/>
    <xf numFmtId="2" fontId="19" fillId="5" borderId="3" xfId="7" applyNumberFormat="1"/>
    <xf numFmtId="9" fontId="11" fillId="0" borderId="0" xfId="5" applyFont="1"/>
    <xf numFmtId="1" fontId="11" fillId="0" borderId="0" xfId="1" applyNumberFormat="1" applyFont="1"/>
    <xf numFmtId="167" fontId="11" fillId="0" borderId="0" xfId="5" applyNumberFormat="1" applyFont="1"/>
    <xf numFmtId="0" fontId="8" fillId="0" borderId="0" xfId="0" applyFont="1" applyAlignment="1">
      <alignment wrapText="1"/>
    </xf>
    <xf numFmtId="1" fontId="1" fillId="0" borderId="0" xfId="1" applyNumberFormat="1" applyFont="1"/>
    <xf numFmtId="167" fontId="1" fillId="0" borderId="0" xfId="5" applyNumberFormat="1" applyFont="1"/>
    <xf numFmtId="10" fontId="1" fillId="0" borderId="0" xfId="0" applyNumberFormat="1" applyFont="1"/>
    <xf numFmtId="0" fontId="0" fillId="0" borderId="0" xfId="0" applyFill="1"/>
    <xf numFmtId="0" fontId="3" fillId="0" borderId="0" xfId="0" applyFont="1" applyFill="1" applyAlignment="1"/>
    <xf numFmtId="0" fontId="0" fillId="0" borderId="0" xfId="0" applyFill="1" applyAlignment="1"/>
    <xf numFmtId="4" fontId="5" fillId="0" borderId="0" xfId="0" applyNumberFormat="1" applyFont="1" applyFill="1" applyAlignment="1"/>
    <xf numFmtId="4" fontId="0" fillId="0" borderId="0" xfId="0" applyNumberFormat="1" applyFill="1" applyAlignment="1"/>
    <xf numFmtId="0" fontId="0" fillId="0" borderId="0" xfId="0" quotePrefix="1"/>
    <xf numFmtId="167" fontId="0" fillId="0" borderId="0" xfId="0" applyNumberFormat="1"/>
    <xf numFmtId="1" fontId="1" fillId="0" borderId="2" xfId="1" applyNumberFormat="1" applyFont="1" applyBorder="1"/>
    <xf numFmtId="2" fontId="0" fillId="0" borderId="0" xfId="0" applyNumberFormat="1"/>
    <xf numFmtId="164" fontId="0" fillId="0" borderId="0" xfId="0" applyNumberFormat="1" applyFill="1" applyBorder="1"/>
    <xf numFmtId="164" fontId="0" fillId="0" borderId="4" xfId="0" applyNumberFormat="1" applyFill="1" applyBorder="1" applyAlignment="1" applyProtection="1">
      <alignment horizontal="center"/>
    </xf>
    <xf numFmtId="164" fontId="0" fillId="0" borderId="4" xfId="0" applyNumberFormat="1" applyFill="1" applyBorder="1" applyAlignment="1" applyProtection="1">
      <alignment horizontal="center" wrapText="1"/>
    </xf>
    <xf numFmtId="0" fontId="0" fillId="0" borderId="0" xfId="0" applyFill="1" applyBorder="1"/>
    <xf numFmtId="168" fontId="0" fillId="0" borderId="0" xfId="0" applyNumberFormat="1" applyFill="1" applyBorder="1" applyAlignment="1" applyProtection="1">
      <alignment horizontal="center"/>
    </xf>
    <xf numFmtId="169" fontId="0" fillId="0" borderId="0" xfId="0" applyNumberFormat="1" applyFill="1" applyBorder="1" applyAlignment="1" applyProtection="1">
      <alignment horizontal="center"/>
    </xf>
    <xf numFmtId="4" fontId="0" fillId="0" borderId="0" xfId="0" applyNumberFormat="1" applyFill="1" applyBorder="1" applyAlignment="1" applyProtection="1">
      <alignment horizontal="center"/>
    </xf>
    <xf numFmtId="3" fontId="0" fillId="0" borderId="0" xfId="0" applyNumberFormat="1" applyFill="1" applyBorder="1" applyAlignment="1" applyProtection="1">
      <alignment horizontal="right"/>
    </xf>
    <xf numFmtId="164" fontId="0" fillId="0" borderId="0" xfId="0" applyNumberFormat="1" applyFill="1" applyBorder="1" applyAlignment="1" applyProtection="1">
      <alignment horizontal="center"/>
    </xf>
    <xf numFmtId="170" fontId="0" fillId="0" borderId="0" xfId="0" applyNumberFormat="1" applyFill="1" applyBorder="1" applyAlignment="1" applyProtection="1">
      <alignment horizontal="center"/>
    </xf>
    <xf numFmtId="0" fontId="21" fillId="0" borderId="0" xfId="0" applyFont="1"/>
    <xf numFmtId="0" fontId="21" fillId="0" borderId="0" xfId="0" quotePrefix="1" applyFont="1"/>
    <xf numFmtId="164" fontId="0" fillId="0" borderId="0" xfId="0" applyNumberFormat="1" applyFill="1" applyBorder="1" applyAlignment="1" applyProtection="1">
      <alignment horizontal="center"/>
    </xf>
    <xf numFmtId="170" fontId="0" fillId="0" borderId="0" xfId="0" applyNumberFormat="1" applyFont="1" applyFill="1" applyBorder="1" applyAlignment="1" applyProtection="1">
      <alignment horizontal="center"/>
    </xf>
    <xf numFmtId="0" fontId="0" fillId="0" borderId="0" xfId="0" quotePrefix="1" applyFont="1"/>
    <xf numFmtId="2" fontId="0" fillId="0" borderId="0" xfId="0" applyNumberFormat="1" applyFont="1"/>
    <xf numFmtId="2" fontId="0" fillId="0" borderId="0" xfId="0" applyNumberFormat="1" applyFill="1"/>
    <xf numFmtId="10" fontId="0" fillId="0" borderId="0" xfId="0" applyNumberFormat="1" applyFill="1"/>
    <xf numFmtId="164" fontId="0" fillId="0" borderId="0" xfId="0" applyNumberFormat="1" applyProtection="1"/>
    <xf numFmtId="10" fontId="22" fillId="0" borderId="0" xfId="0" applyNumberFormat="1" applyFont="1"/>
    <xf numFmtId="0" fontId="21" fillId="0" borderId="0" xfId="0" applyFont="1" applyFill="1"/>
    <xf numFmtId="164" fontId="0" fillId="0" borderId="0" xfId="0" applyNumberFormat="1"/>
    <xf numFmtId="10" fontId="0" fillId="0" borderId="0" xfId="0" applyNumberFormat="1" applyFont="1"/>
    <xf numFmtId="171" fontId="0" fillId="0" borderId="0" xfId="0" applyNumberFormat="1" applyFont="1"/>
    <xf numFmtId="3" fontId="8" fillId="0" borderId="0" xfId="0" applyNumberFormat="1" applyFont="1" applyFill="1" applyBorder="1"/>
    <xf numFmtId="0" fontId="0" fillId="0" borderId="0" xfId="0" applyNumberFormat="1"/>
    <xf numFmtId="172" fontId="0" fillId="0" borderId="0" xfId="0" applyNumberFormat="1"/>
    <xf numFmtId="173" fontId="0" fillId="0" borderId="0" xfId="0" applyNumberFormat="1"/>
    <xf numFmtId="0" fontId="0" fillId="0" borderId="0" xfId="0" applyNumberFormat="1" applyProtection="1"/>
    <xf numFmtId="0" fontId="0" fillId="2" borderId="0" xfId="0" applyFill="1"/>
    <xf numFmtId="0" fontId="0" fillId="0" borderId="0" xfId="0" quotePrefix="1" applyFill="1"/>
    <xf numFmtId="2" fontId="0" fillId="2" borderId="0" xfId="0" applyNumberFormat="1" applyFont="1" applyFill="1"/>
    <xf numFmtId="10" fontId="0" fillId="2" borderId="0" xfId="0" applyNumberFormat="1" applyFill="1"/>
    <xf numFmtId="0" fontId="0" fillId="0" borderId="0" xfId="0" applyAlignment="1">
      <alignment horizontal="center"/>
    </xf>
    <xf numFmtId="0" fontId="2" fillId="3" borderId="1" xfId="0" applyFont="1" applyFill="1" applyBorder="1" applyAlignment="1">
      <alignment horizontal="center"/>
    </xf>
    <xf numFmtId="0" fontId="2" fillId="3" borderId="2" xfId="0" applyFont="1" applyFill="1" applyBorder="1" applyAlignment="1">
      <alignment horizontal="center"/>
    </xf>
    <xf numFmtId="164" fontId="20" fillId="0" borderId="0" xfId="0" applyNumberFormat="1" applyFont="1" applyFill="1" applyBorder="1" applyAlignment="1">
      <alignment horizontal="center"/>
    </xf>
    <xf numFmtId="164" fontId="0" fillId="0" borderId="0" xfId="0" applyNumberFormat="1" applyFill="1" applyBorder="1" applyAlignment="1" applyProtection="1">
      <alignment horizontal="center"/>
    </xf>
    <xf numFmtId="0" fontId="0" fillId="0" borderId="0" xfId="0" applyAlignment="1">
      <alignment horizontal="left" wrapText="1"/>
    </xf>
  </cellXfs>
  <cellStyles count="8">
    <cellStyle name="Calculation" xfId="7" builtinId="22"/>
    <cellStyle name="Comma" xfId="1" builtinId="3"/>
    <cellStyle name="Input" xfId="6" builtinId="20"/>
    <cellStyle name="Normal" xfId="0" builtinId="0"/>
    <cellStyle name="Normal 2" xfId="2" xr:uid="{00000000-0005-0000-0000-000004000000}"/>
    <cellStyle name="Normal 2 2" xfId="4" xr:uid="{00000000-0005-0000-0000-000005000000}"/>
    <cellStyle name="Normal 3" xfId="3" xr:uid="{00000000-0005-0000-0000-00000600000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4.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5.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v>Epidemic Incidence</c:v>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1"/>
            <c:trendlineLbl>
              <c:layout>
                <c:manualLayout>
                  <c:x val="0.16363495188101487"/>
                  <c:y val="-0.19090660542432197"/>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trendlineLbl>
          </c:trendline>
          <c:xVal>
            <c:numRef>
              <c:f>('Incidence Parameters'!$A$9,'Incidence Parameters'!$A$13,'Incidence Parameters'!$A$19,'Incidence Parameters'!$A$23)</c:f>
              <c:numCache>
                <c:formatCode>General</c:formatCode>
                <c:ptCount val="4"/>
                <c:pt idx="0">
                  <c:v>2000</c:v>
                </c:pt>
                <c:pt idx="1">
                  <c:v>2004</c:v>
                </c:pt>
                <c:pt idx="2">
                  <c:v>2010</c:v>
                </c:pt>
                <c:pt idx="3">
                  <c:v>2014</c:v>
                </c:pt>
              </c:numCache>
            </c:numRef>
          </c:xVal>
          <c:yVal>
            <c:numRef>
              <c:f>('Incidence Parameters'!$E$9,'Incidence Parameters'!$E$13,'Incidence Parameters'!$E$19,'Incidence Parameters'!$E$23)</c:f>
              <c:numCache>
                <c:formatCode>General</c:formatCode>
                <c:ptCount val="4"/>
                <c:pt idx="0">
                  <c:v>26.737964139987167</c:v>
                </c:pt>
                <c:pt idx="1">
                  <c:v>13.369364828043416</c:v>
                </c:pt>
                <c:pt idx="2">
                  <c:v>20.605669322636544</c:v>
                </c:pt>
                <c:pt idx="3">
                  <c:v>15.484857652881027</c:v>
                </c:pt>
              </c:numCache>
            </c:numRef>
          </c:yVal>
          <c:smooth val="0"/>
          <c:extLst>
            <c:ext xmlns:c16="http://schemas.microsoft.com/office/drawing/2014/chart" uri="{C3380CC4-5D6E-409C-BE32-E72D297353CC}">
              <c16:uniqueId val="{00000000-06C5-E345-A6CD-B136206FD588}"/>
            </c:ext>
          </c:extLst>
        </c:ser>
        <c:ser>
          <c:idx val="1"/>
          <c:order val="1"/>
          <c:tx>
            <c:v>Low Incidence</c:v>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1"/>
            <c:trendlineLbl>
              <c:layout>
                <c:manualLayout>
                  <c:x val="9.1089457567804025E-2"/>
                  <c:y val="0.15379848352289296"/>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trendlineLbl>
          </c:trendline>
          <c:xVal>
            <c:numRef>
              <c:f>('Incidence Parameters'!$A$5:$A$8,'Incidence Parameters'!$A$10:$A$12,'Incidence Parameters'!$A$14:$A$18,'Incidence Parameters'!$A$20:$A$22,'Incidence Parameters'!$A$24)</c:f>
              <c:numCache>
                <c:formatCode>General</c:formatCode>
                <c:ptCount val="16"/>
                <c:pt idx="0">
                  <c:v>1996</c:v>
                </c:pt>
                <c:pt idx="1">
                  <c:v>1997</c:v>
                </c:pt>
                <c:pt idx="2">
                  <c:v>1998</c:v>
                </c:pt>
                <c:pt idx="3">
                  <c:v>1999</c:v>
                </c:pt>
                <c:pt idx="4">
                  <c:v>2001</c:v>
                </c:pt>
                <c:pt idx="5">
                  <c:v>2002</c:v>
                </c:pt>
                <c:pt idx="6">
                  <c:v>2003</c:v>
                </c:pt>
                <c:pt idx="7">
                  <c:v>2005</c:v>
                </c:pt>
                <c:pt idx="8">
                  <c:v>2006</c:v>
                </c:pt>
                <c:pt idx="9">
                  <c:v>2007</c:v>
                </c:pt>
                <c:pt idx="10">
                  <c:v>2008</c:v>
                </c:pt>
                <c:pt idx="11">
                  <c:v>2009</c:v>
                </c:pt>
                <c:pt idx="12">
                  <c:v>2011</c:v>
                </c:pt>
                <c:pt idx="13">
                  <c:v>2012</c:v>
                </c:pt>
                <c:pt idx="14">
                  <c:v>2013</c:v>
                </c:pt>
                <c:pt idx="15">
                  <c:v>2015</c:v>
                </c:pt>
              </c:numCache>
            </c:numRef>
          </c:xVal>
          <c:yVal>
            <c:numRef>
              <c:f>('Incidence Parameters'!$E$5:$E$8,'Incidence Parameters'!$E$10:$E$12,'Incidence Parameters'!$E$14:$E$18,'Incidence Parameters'!$E$20:$E$22,'Incidence Parameters'!$E$24)</c:f>
              <c:numCache>
                <c:formatCode>General</c:formatCode>
                <c:ptCount val="16"/>
                <c:pt idx="0">
                  <c:v>1.5557996848131885</c:v>
                </c:pt>
                <c:pt idx="1">
                  <c:v>4.1342088186577923</c:v>
                </c:pt>
                <c:pt idx="2">
                  <c:v>11.930668960254293</c:v>
                </c:pt>
                <c:pt idx="3">
                  <c:v>7.1908533512608956</c:v>
                </c:pt>
                <c:pt idx="4">
                  <c:v>8.0255477821561527</c:v>
                </c:pt>
                <c:pt idx="5">
                  <c:v>10.305061861611685</c:v>
                </c:pt>
                <c:pt idx="6">
                  <c:v>5.036492950414857</c:v>
                </c:pt>
                <c:pt idx="7">
                  <c:v>6.4273874251948797</c:v>
                </c:pt>
                <c:pt idx="8">
                  <c:v>8.47382450498535</c:v>
                </c:pt>
                <c:pt idx="9">
                  <c:v>8.1794757325795278</c:v>
                </c:pt>
                <c:pt idx="10">
                  <c:v>6.8326538727911954</c:v>
                </c:pt>
                <c:pt idx="11">
                  <c:v>10.152841900404193</c:v>
                </c:pt>
                <c:pt idx="12">
                  <c:v>7.0112001065372462</c:v>
                </c:pt>
                <c:pt idx="13">
                  <c:v>6.6670725405922093</c:v>
                </c:pt>
                <c:pt idx="14">
                  <c:v>8.4317161707719404</c:v>
                </c:pt>
                <c:pt idx="15">
                  <c:v>11.023889796365586</c:v>
                </c:pt>
              </c:numCache>
            </c:numRef>
          </c:yVal>
          <c:smooth val="0"/>
          <c:extLst>
            <c:ext xmlns:c16="http://schemas.microsoft.com/office/drawing/2014/chart" uri="{C3380CC4-5D6E-409C-BE32-E72D297353CC}">
              <c16:uniqueId val="{00000001-06C5-E345-A6CD-B136206FD588}"/>
            </c:ext>
          </c:extLst>
        </c:ser>
        <c:dLbls>
          <c:showLegendKey val="0"/>
          <c:showVal val="0"/>
          <c:showCatName val="0"/>
          <c:showSerName val="0"/>
          <c:showPercent val="0"/>
          <c:showBubbleSize val="0"/>
        </c:dLbls>
        <c:axId val="1855706704"/>
        <c:axId val="1812907712"/>
      </c:scatterChart>
      <c:valAx>
        <c:axId val="185570670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r>
                  <a:rPr lang="en-US"/>
                  <a:t>Year</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812907712"/>
        <c:crosses val="autoZero"/>
        <c:crossBetween val="midCat"/>
      </c:valAx>
      <c:valAx>
        <c:axId val="18129077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r>
                  <a:rPr lang="en-US"/>
                  <a:t>Incidence (%)</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855706704"/>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7356966502068599"/>
          <c:y val="0.10424052360654001"/>
          <c:w val="0.78417125984251967"/>
          <c:h val="0.76867700075011758"/>
        </c:manualLayout>
      </c:layout>
      <c:scatterChart>
        <c:scatterStyle val="smoothMarker"/>
        <c:varyColors val="0"/>
        <c:ser>
          <c:idx val="0"/>
          <c:order val="0"/>
          <c:tx>
            <c:v>Fluopyram</c:v>
          </c:tx>
          <c:xVal>
            <c:numRef>
              <c:f>'Adoption Path Fluopyram'!$A$17:$A$73</c:f>
              <c:numCache>
                <c:formatCode>0</c:formatCode>
                <c:ptCount val="57"/>
                <c:pt idx="0">
                  <c:v>2013.5</c:v>
                </c:pt>
                <c:pt idx="1">
                  <c:v>2014</c:v>
                </c:pt>
                <c:pt idx="2">
                  <c:v>2014.5</c:v>
                </c:pt>
                <c:pt idx="3">
                  <c:v>2015</c:v>
                </c:pt>
                <c:pt idx="4">
                  <c:v>2015.5</c:v>
                </c:pt>
                <c:pt idx="5">
                  <c:v>2016</c:v>
                </c:pt>
                <c:pt idx="6">
                  <c:v>2016.5</c:v>
                </c:pt>
                <c:pt idx="7">
                  <c:v>2017</c:v>
                </c:pt>
                <c:pt idx="8">
                  <c:v>2017.5</c:v>
                </c:pt>
                <c:pt idx="9">
                  <c:v>2018</c:v>
                </c:pt>
                <c:pt idx="10">
                  <c:v>2018.5</c:v>
                </c:pt>
                <c:pt idx="11">
                  <c:v>2019</c:v>
                </c:pt>
                <c:pt idx="12">
                  <c:v>2019.5</c:v>
                </c:pt>
                <c:pt idx="13">
                  <c:v>2020</c:v>
                </c:pt>
                <c:pt idx="14">
                  <c:v>2020.5</c:v>
                </c:pt>
                <c:pt idx="15">
                  <c:v>2021</c:v>
                </c:pt>
                <c:pt idx="16">
                  <c:v>2021.5</c:v>
                </c:pt>
                <c:pt idx="17">
                  <c:v>2022</c:v>
                </c:pt>
                <c:pt idx="18">
                  <c:v>2022.5</c:v>
                </c:pt>
                <c:pt idx="19">
                  <c:v>2023</c:v>
                </c:pt>
                <c:pt idx="20">
                  <c:v>2023.5</c:v>
                </c:pt>
                <c:pt idx="21">
                  <c:v>2024</c:v>
                </c:pt>
                <c:pt idx="22">
                  <c:v>2024.5</c:v>
                </c:pt>
                <c:pt idx="23">
                  <c:v>2025</c:v>
                </c:pt>
                <c:pt idx="24">
                  <c:v>2025.5</c:v>
                </c:pt>
                <c:pt idx="25">
                  <c:v>2026</c:v>
                </c:pt>
                <c:pt idx="26">
                  <c:v>2026.5</c:v>
                </c:pt>
                <c:pt idx="27">
                  <c:v>2027</c:v>
                </c:pt>
                <c:pt idx="28">
                  <c:v>2027.5</c:v>
                </c:pt>
                <c:pt idx="29">
                  <c:v>2028</c:v>
                </c:pt>
                <c:pt idx="30">
                  <c:v>2028.5</c:v>
                </c:pt>
                <c:pt idx="31">
                  <c:v>2029</c:v>
                </c:pt>
                <c:pt idx="32">
                  <c:v>2029.5</c:v>
                </c:pt>
                <c:pt idx="33">
                  <c:v>2030</c:v>
                </c:pt>
                <c:pt idx="34">
                  <c:v>2030.5</c:v>
                </c:pt>
                <c:pt idx="35">
                  <c:v>2031</c:v>
                </c:pt>
                <c:pt idx="36">
                  <c:v>2031.5</c:v>
                </c:pt>
                <c:pt idx="37">
                  <c:v>2032</c:v>
                </c:pt>
                <c:pt idx="38">
                  <c:v>2033</c:v>
                </c:pt>
                <c:pt idx="39">
                  <c:v>2033</c:v>
                </c:pt>
                <c:pt idx="40">
                  <c:v>2034</c:v>
                </c:pt>
                <c:pt idx="41">
                  <c:v>2034</c:v>
                </c:pt>
                <c:pt idx="42">
                  <c:v>2035</c:v>
                </c:pt>
                <c:pt idx="43">
                  <c:v>2035</c:v>
                </c:pt>
                <c:pt idx="44">
                  <c:v>2036</c:v>
                </c:pt>
                <c:pt idx="45">
                  <c:v>2036</c:v>
                </c:pt>
                <c:pt idx="46">
                  <c:v>2037</c:v>
                </c:pt>
                <c:pt idx="47">
                  <c:v>2037</c:v>
                </c:pt>
                <c:pt idx="48">
                  <c:v>2038</c:v>
                </c:pt>
                <c:pt idx="49">
                  <c:v>2038</c:v>
                </c:pt>
                <c:pt idx="50">
                  <c:v>2039</c:v>
                </c:pt>
                <c:pt idx="51">
                  <c:v>2039</c:v>
                </c:pt>
                <c:pt idx="52">
                  <c:v>2040</c:v>
                </c:pt>
                <c:pt idx="53">
                  <c:v>2040</c:v>
                </c:pt>
                <c:pt idx="54">
                  <c:v>2041</c:v>
                </c:pt>
                <c:pt idx="55">
                  <c:v>2041</c:v>
                </c:pt>
                <c:pt idx="56">
                  <c:v>2042</c:v>
                </c:pt>
              </c:numCache>
            </c:numRef>
          </c:xVal>
          <c:yVal>
            <c:numRef>
              <c:f>'Adoption Path Fluopyram'!$B$17:$B$73</c:f>
              <c:numCache>
                <c:formatCode>0.0%</c:formatCode>
                <c:ptCount val="57"/>
                <c:pt idx="0">
                  <c:v>9.2882467763376244E-3</c:v>
                </c:pt>
                <c:pt idx="1">
                  <c:v>1.2010498971304611E-2</c:v>
                </c:pt>
                <c:pt idx="2">
                  <c:v>1.551670526750454E-2</c:v>
                </c:pt>
                <c:pt idx="3">
                  <c:v>2.0023392497776144E-2</c:v>
                </c:pt>
                <c:pt idx="4">
                  <c:v>2.5800824373372527E-2</c:v>
                </c:pt>
                <c:pt idx="5">
                  <c:v>3.318238331146306E-2</c:v>
                </c:pt>
                <c:pt idx="6">
                  <c:v>4.2572944336041432E-2</c:v>
                </c:pt>
                <c:pt idx="7">
                  <c:v>5.4454072189201792E-2</c:v>
                </c:pt>
                <c:pt idx="8">
                  <c:v>6.9382640046372498E-2</c:v>
                </c:pt>
                <c:pt idx="9">
                  <c:v>8.7978033791758017E-2</c:v>
                </c:pt>
                <c:pt idx="10">
                  <c:v>0.11089185694487516</c:v>
                </c:pt>
                <c:pt idx="11">
                  <c:v>0.13875381074561324</c:v>
                </c:pt>
                <c:pt idx="12">
                  <c:v>0.17208951794883548</c:v>
                </c:pt>
                <c:pt idx="13">
                  <c:v>0.21121203158095722</c:v>
                </c:pt>
                <c:pt idx="14">
                  <c:v>0.25609941147526732</c:v>
                </c:pt>
                <c:pt idx="15">
                  <c:v>0.30628439911040861</c:v>
                </c:pt>
                <c:pt idx="16">
                  <c:v>0.36079324428189641</c:v>
                </c:pt>
                <c:pt idx="17">
                  <c:v>0.41817035721831175</c:v>
                </c:pt>
                <c:pt idx="18">
                  <c:v>0.47660681554286033</c:v>
                </c:pt>
                <c:pt idx="19">
                  <c:v>0.53415643418059811</c:v>
                </c:pt>
                <c:pt idx="20">
                  <c:v>0.58898818697957744</c:v>
                </c:pt>
                <c:pt idx="21">
                  <c:v>0.63960804540453065</c:v>
                </c:pt>
                <c:pt idx="22">
                  <c:v>0.68499657178653628</c:v>
                </c:pt>
                <c:pt idx="23">
                  <c:v>0.72464256947671624</c:v>
                </c:pt>
                <c:pt idx="24">
                  <c:v>0.7584882420993273</c:v>
                </c:pt>
                <c:pt idx="25">
                  <c:v>0.78682165924509428</c:v>
                </c:pt>
                <c:pt idx="26">
                  <c:v>0.81015415025251492</c:v>
                </c:pt>
                <c:pt idx="27">
                  <c:v>0.8291098677559009</c:v>
                </c:pt>
                <c:pt idx="28">
                  <c:v>0.84434105712354246</c:v>
                </c:pt>
                <c:pt idx="29">
                  <c:v>0.85647153784551322</c:v>
                </c:pt>
                <c:pt idx="30">
                  <c:v>0.86606452129379352</c:v>
                </c:pt>
                <c:pt idx="31">
                  <c:v>0.87360850876531226</c:v>
                </c:pt>
                <c:pt idx="32">
                  <c:v>0.87951510598663785</c:v>
                </c:pt>
                <c:pt idx="33">
                  <c:v>0.88412378988080831</c:v>
                </c:pt>
                <c:pt idx="34">
                  <c:v>0.88771010232890535</c:v>
                </c:pt>
                <c:pt idx="35">
                  <c:v>0.89049500407471771</c:v>
                </c:pt>
                <c:pt idx="36">
                  <c:v>0.8926540667328754</c:v>
                </c:pt>
                <c:pt idx="37">
                  <c:v>0.89432582266421268</c:v>
                </c:pt>
                <c:pt idx="38" formatCode="0.00%">
                  <c:v>0.89661856109292404</c:v>
                </c:pt>
                <c:pt idx="39" formatCode="0.00%">
                  <c:v>0.89661856109292404</c:v>
                </c:pt>
                <c:pt idx="40" formatCode="0.00%">
                  <c:v>0.89798696863827887</c:v>
                </c:pt>
                <c:pt idx="41" formatCode="0.00%">
                  <c:v>0.89798696863827887</c:v>
                </c:pt>
                <c:pt idx="42" formatCode="0.00%">
                  <c:v>0.89880234594234754</c:v>
                </c:pt>
                <c:pt idx="43" formatCode="0.00%">
                  <c:v>0.89880234594234754</c:v>
                </c:pt>
                <c:pt idx="44" formatCode="0.00%">
                  <c:v>0.89928771706287691</c:v>
                </c:pt>
                <c:pt idx="45" formatCode="0.00%">
                  <c:v>0.89928771706287691</c:v>
                </c:pt>
                <c:pt idx="46" formatCode="0.00%">
                  <c:v>0.89957647538601015</c:v>
                </c:pt>
                <c:pt idx="47" formatCode="0.00%">
                  <c:v>0.89957647538601015</c:v>
                </c:pt>
                <c:pt idx="48" formatCode="0.00%">
                  <c:v>0.89974820433990677</c:v>
                </c:pt>
                <c:pt idx="49" formatCode="0.00%">
                  <c:v>0.89974820433990677</c:v>
                </c:pt>
                <c:pt idx="50" formatCode="0.00%">
                  <c:v>0.89985031295666318</c:v>
                </c:pt>
                <c:pt idx="51" formatCode="0.00%">
                  <c:v>0.89985031295666318</c:v>
                </c:pt>
                <c:pt idx="52" formatCode="0.00%">
                  <c:v>0.89991101840346654</c:v>
                </c:pt>
                <c:pt idx="53" formatCode="0.00%">
                  <c:v>0.89991101840346654</c:v>
                </c:pt>
                <c:pt idx="54" formatCode="0.00%">
                  <c:v>0.89994710625763097</c:v>
                </c:pt>
                <c:pt idx="55" formatCode="0.00%">
                  <c:v>0.89994710625763097</c:v>
                </c:pt>
                <c:pt idx="56" formatCode="0.00%">
                  <c:v>0.89996855863920766</c:v>
                </c:pt>
              </c:numCache>
            </c:numRef>
          </c:yVal>
          <c:smooth val="1"/>
          <c:extLst>
            <c:ext xmlns:c16="http://schemas.microsoft.com/office/drawing/2014/chart" uri="{C3380CC4-5D6E-409C-BE32-E72D297353CC}">
              <c16:uniqueId val="{00000000-01D1-6D4D-B62D-DB9F07CF2F67}"/>
            </c:ext>
          </c:extLst>
        </c:ser>
        <c:ser>
          <c:idx val="1"/>
          <c:order val="1"/>
          <c:tx>
            <c:v>Observed Fluopyram Adoption</c:v>
          </c:tx>
          <c:dPt>
            <c:idx val="1"/>
            <c:bubble3D val="0"/>
            <c:spPr>
              <a:ln>
                <a:solidFill>
                  <a:schemeClr val="bg1"/>
                </a:solidFill>
              </a:ln>
            </c:spPr>
            <c:extLst>
              <c:ext xmlns:c16="http://schemas.microsoft.com/office/drawing/2014/chart" uri="{C3380CC4-5D6E-409C-BE32-E72D297353CC}">
                <c16:uniqueId val="{00000001-7FBC-E440-AC20-EA8F7B4C4517}"/>
              </c:ext>
            </c:extLst>
          </c:dPt>
          <c:xVal>
            <c:numRef>
              <c:f>('Adoption Path Fluopyram'!$C$19,'Adoption Path Fluopyram'!$C$21)</c:f>
              <c:numCache>
                <c:formatCode>0</c:formatCode>
                <c:ptCount val="2"/>
                <c:pt idx="0">
                  <c:v>2015.5</c:v>
                </c:pt>
                <c:pt idx="1">
                  <c:v>2017.5</c:v>
                </c:pt>
              </c:numCache>
            </c:numRef>
          </c:xVal>
          <c:yVal>
            <c:numRef>
              <c:f>('Adoption Path Fluopyram'!$E$19,'Adoption Path Fluopyram'!$E$21)</c:f>
              <c:numCache>
                <c:formatCode>General</c:formatCode>
                <c:ptCount val="2"/>
                <c:pt idx="0">
                  <c:v>3.6869314790513419E-2</c:v>
                </c:pt>
                <c:pt idx="1">
                  <c:v>9.7753370879728407E-2</c:v>
                </c:pt>
              </c:numCache>
            </c:numRef>
          </c:yVal>
          <c:smooth val="1"/>
          <c:extLst>
            <c:ext xmlns:c16="http://schemas.microsoft.com/office/drawing/2014/chart" uri="{C3380CC4-5D6E-409C-BE32-E72D297353CC}">
              <c16:uniqueId val="{00000000-7FBC-E440-AC20-EA8F7B4C4517}"/>
            </c:ext>
          </c:extLst>
        </c:ser>
        <c:dLbls>
          <c:showLegendKey val="0"/>
          <c:showVal val="0"/>
          <c:showCatName val="0"/>
          <c:showSerName val="0"/>
          <c:showPercent val="0"/>
          <c:showBubbleSize val="0"/>
        </c:dLbls>
        <c:axId val="1990618544"/>
        <c:axId val="1"/>
      </c:scatterChart>
      <c:valAx>
        <c:axId val="1990618544"/>
        <c:scaling>
          <c:orientation val="minMax"/>
          <c:max val="2042"/>
          <c:min val="2014"/>
        </c:scaling>
        <c:delete val="0"/>
        <c:axPos val="b"/>
        <c:title>
          <c:tx>
            <c:rich>
              <a:bodyPr/>
              <a:lstStyle/>
              <a:p>
                <a:pPr>
                  <a:defRPr sz="1800" b="0">
                    <a:solidFill>
                      <a:schemeClr val="tx1"/>
                    </a:solidFill>
                    <a:latin typeface="Arial" panose="020B0604020202020204" pitchFamily="34" charset="0"/>
                    <a:cs typeface="Arial" panose="020B0604020202020204" pitchFamily="34" charset="0"/>
                  </a:defRPr>
                </a:pPr>
                <a:r>
                  <a:rPr lang="en-US" sz="1800" b="0">
                    <a:solidFill>
                      <a:schemeClr val="tx1"/>
                    </a:solidFill>
                    <a:latin typeface="Arial" panose="020B0604020202020204" pitchFamily="34" charset="0"/>
                    <a:cs typeface="Arial" panose="020B0604020202020204" pitchFamily="34" charset="0"/>
                  </a:rPr>
                  <a:t>Year</a:t>
                </a:r>
              </a:p>
            </c:rich>
          </c:tx>
          <c:overlay val="0"/>
        </c:title>
        <c:numFmt formatCode="0" sourceLinked="0"/>
        <c:majorTickMark val="out"/>
        <c:minorTickMark val="none"/>
        <c:tickLblPos val="nextTo"/>
        <c:txPr>
          <a:bodyPr rot="0" vert="horz"/>
          <a:lstStyle/>
          <a:p>
            <a:pPr>
              <a:defRPr sz="1200" b="0" i="0" u="none" strike="noStrike" baseline="0">
                <a:solidFill>
                  <a:srgbClr val="000000"/>
                </a:solidFill>
                <a:latin typeface="Arial" panose="020B0604020202020204" pitchFamily="34" charset="0"/>
                <a:ea typeface="Calibri"/>
                <a:cs typeface="Arial" panose="020B0604020202020204" pitchFamily="34" charset="0"/>
              </a:defRPr>
            </a:pPr>
            <a:endParaRPr lang="en-US"/>
          </a:p>
        </c:txPr>
        <c:crossAx val="1"/>
        <c:crosses val="autoZero"/>
        <c:crossBetween val="midCat"/>
        <c:majorUnit val="5"/>
      </c:valAx>
      <c:valAx>
        <c:axId val="1"/>
        <c:scaling>
          <c:orientation val="minMax"/>
          <c:max val="1"/>
          <c:min val="0"/>
        </c:scaling>
        <c:delete val="0"/>
        <c:axPos val="l"/>
        <c:title>
          <c:tx>
            <c:rich>
              <a:bodyPr/>
              <a:lstStyle/>
              <a:p>
                <a:pPr>
                  <a:defRPr sz="1800">
                    <a:latin typeface="Arial" panose="020B0604020202020204" pitchFamily="34" charset="0"/>
                    <a:cs typeface="Arial" panose="020B0604020202020204" pitchFamily="34" charset="0"/>
                  </a:defRPr>
                </a:pPr>
                <a:r>
                  <a:rPr lang="en-US" sz="1800">
                    <a:latin typeface="Arial" panose="020B0604020202020204" pitchFamily="34" charset="0"/>
                    <a:cs typeface="Arial" panose="020B0604020202020204" pitchFamily="34" charset="0"/>
                  </a:rPr>
                  <a:t>Adoption</a:t>
                </a:r>
                <a:r>
                  <a:rPr lang="en-US" sz="1800" baseline="0">
                    <a:latin typeface="Arial" panose="020B0604020202020204" pitchFamily="34" charset="0"/>
                    <a:cs typeface="Arial" panose="020B0604020202020204" pitchFamily="34" charset="0"/>
                  </a:rPr>
                  <a:t> Rate (%)</a:t>
                </a:r>
                <a:endParaRPr lang="en-US" sz="1800">
                  <a:latin typeface="Arial" panose="020B0604020202020204" pitchFamily="34" charset="0"/>
                  <a:cs typeface="Arial" panose="020B0604020202020204" pitchFamily="34" charset="0"/>
                </a:endParaRPr>
              </a:p>
            </c:rich>
          </c:tx>
          <c:overlay val="0"/>
        </c:title>
        <c:numFmt formatCode="0.0%" sourceLinked="1"/>
        <c:majorTickMark val="out"/>
        <c:minorTickMark val="none"/>
        <c:tickLblPos val="nextTo"/>
        <c:txPr>
          <a:bodyPr rot="0" vert="horz"/>
          <a:lstStyle/>
          <a:p>
            <a:pPr>
              <a:defRPr sz="1200" b="0" i="0" u="none" strike="noStrike" baseline="0">
                <a:solidFill>
                  <a:srgbClr val="000000"/>
                </a:solidFill>
                <a:latin typeface="Arial" panose="020B0604020202020204" pitchFamily="34" charset="0"/>
                <a:ea typeface="Calibri"/>
                <a:cs typeface="Arial" panose="020B0604020202020204" pitchFamily="34" charset="0"/>
              </a:defRPr>
            </a:pPr>
            <a:endParaRPr lang="en-US"/>
          </a:p>
        </c:txPr>
        <c:crossAx val="1990618544"/>
        <c:crosses val="autoZero"/>
        <c:crossBetween val="midCat"/>
        <c:majorUnit val="0.1"/>
      </c:valAx>
    </c:plotArea>
    <c:legend>
      <c:legendPos val="l"/>
      <c:layout>
        <c:manualLayout>
          <c:xMode val="edge"/>
          <c:yMode val="edge"/>
          <c:x val="0.18221423328439881"/>
          <c:y val="0.10824636498054051"/>
          <c:w val="0.29655647428205084"/>
          <c:h val="0.1949210700459876"/>
        </c:manualLayout>
      </c:layout>
      <c:overlay val="0"/>
      <c:txPr>
        <a:bodyPr/>
        <a:lstStyle/>
        <a:p>
          <a:pPr>
            <a:defRPr sz="1200">
              <a:latin typeface="Arial" panose="020B0604020202020204" pitchFamily="34" charset="0"/>
              <a:cs typeface="Arial" panose="020B0604020202020204" pitchFamily="34" charset="0"/>
            </a:defRPr>
          </a:pPr>
          <a:endParaRPr lang="en-US"/>
        </a:p>
      </c:txPr>
    </c:legend>
    <c:plotVisOnly val="1"/>
    <c:dispBlanksAs val="gap"/>
    <c:showDLblsOverMax val="0"/>
  </c:chart>
  <c:spPr>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7223363548238976"/>
          <c:y val="0.12144523601216517"/>
          <c:w val="0.78417125984251967"/>
          <c:h val="0.77529964558910791"/>
        </c:manualLayout>
      </c:layout>
      <c:scatterChart>
        <c:scatterStyle val="smoothMarker"/>
        <c:varyColors val="0"/>
        <c:ser>
          <c:idx val="0"/>
          <c:order val="0"/>
          <c:tx>
            <c:v>Fluopyram</c:v>
          </c:tx>
          <c:xVal>
            <c:numRef>
              <c:f>'Adoption Path Sensitivity'!$A$20:$A$76</c:f>
              <c:numCache>
                <c:formatCode>0</c:formatCode>
                <c:ptCount val="57"/>
                <c:pt idx="0">
                  <c:v>2013.5</c:v>
                </c:pt>
                <c:pt idx="1">
                  <c:v>2014</c:v>
                </c:pt>
                <c:pt idx="2">
                  <c:v>2014.5</c:v>
                </c:pt>
                <c:pt idx="3">
                  <c:v>2015</c:v>
                </c:pt>
                <c:pt idx="4">
                  <c:v>2015.5</c:v>
                </c:pt>
                <c:pt idx="5">
                  <c:v>2016</c:v>
                </c:pt>
                <c:pt idx="6">
                  <c:v>2016.5</c:v>
                </c:pt>
                <c:pt idx="7">
                  <c:v>2017</c:v>
                </c:pt>
                <c:pt idx="8">
                  <c:v>2017.5</c:v>
                </c:pt>
                <c:pt idx="9">
                  <c:v>2018</c:v>
                </c:pt>
                <c:pt idx="10">
                  <c:v>2018.5</c:v>
                </c:pt>
                <c:pt idx="11">
                  <c:v>2019</c:v>
                </c:pt>
                <c:pt idx="12">
                  <c:v>2019.5</c:v>
                </c:pt>
                <c:pt idx="13">
                  <c:v>2020</c:v>
                </c:pt>
                <c:pt idx="14">
                  <c:v>2020.5</c:v>
                </c:pt>
                <c:pt idx="15">
                  <c:v>2021</c:v>
                </c:pt>
                <c:pt idx="16">
                  <c:v>2021.5</c:v>
                </c:pt>
                <c:pt idx="17">
                  <c:v>2022</c:v>
                </c:pt>
                <c:pt idx="18">
                  <c:v>2022.5</c:v>
                </c:pt>
                <c:pt idx="19">
                  <c:v>2023</c:v>
                </c:pt>
                <c:pt idx="20">
                  <c:v>2023.5</c:v>
                </c:pt>
                <c:pt idx="21">
                  <c:v>2024</c:v>
                </c:pt>
                <c:pt idx="22">
                  <c:v>2024.5</c:v>
                </c:pt>
                <c:pt idx="23">
                  <c:v>2025</c:v>
                </c:pt>
                <c:pt idx="24">
                  <c:v>2025.5</c:v>
                </c:pt>
                <c:pt idx="25">
                  <c:v>2026</c:v>
                </c:pt>
                <c:pt idx="26">
                  <c:v>2026.5</c:v>
                </c:pt>
                <c:pt idx="27">
                  <c:v>2027</c:v>
                </c:pt>
                <c:pt idx="28">
                  <c:v>2027.5</c:v>
                </c:pt>
                <c:pt idx="29">
                  <c:v>2028</c:v>
                </c:pt>
                <c:pt idx="30">
                  <c:v>2028.5</c:v>
                </c:pt>
                <c:pt idx="31">
                  <c:v>2029</c:v>
                </c:pt>
                <c:pt idx="32">
                  <c:v>2029.5</c:v>
                </c:pt>
                <c:pt idx="33">
                  <c:v>2030</c:v>
                </c:pt>
                <c:pt idx="34">
                  <c:v>2030.5</c:v>
                </c:pt>
                <c:pt idx="35">
                  <c:v>2031</c:v>
                </c:pt>
                <c:pt idx="36">
                  <c:v>2031.5</c:v>
                </c:pt>
                <c:pt idx="37">
                  <c:v>2032</c:v>
                </c:pt>
                <c:pt idx="38">
                  <c:v>2033</c:v>
                </c:pt>
                <c:pt idx="39">
                  <c:v>2033</c:v>
                </c:pt>
                <c:pt idx="40">
                  <c:v>2034</c:v>
                </c:pt>
                <c:pt idx="41">
                  <c:v>2034</c:v>
                </c:pt>
                <c:pt idx="42">
                  <c:v>2035</c:v>
                </c:pt>
                <c:pt idx="43">
                  <c:v>2035</c:v>
                </c:pt>
                <c:pt idx="44">
                  <c:v>2036</c:v>
                </c:pt>
                <c:pt idx="45">
                  <c:v>2036</c:v>
                </c:pt>
                <c:pt idx="46">
                  <c:v>2037</c:v>
                </c:pt>
                <c:pt idx="47">
                  <c:v>2037</c:v>
                </c:pt>
                <c:pt idx="48">
                  <c:v>2038</c:v>
                </c:pt>
                <c:pt idx="49">
                  <c:v>2038</c:v>
                </c:pt>
                <c:pt idx="50">
                  <c:v>2039</c:v>
                </c:pt>
                <c:pt idx="51">
                  <c:v>2039</c:v>
                </c:pt>
                <c:pt idx="52">
                  <c:v>2040</c:v>
                </c:pt>
                <c:pt idx="53">
                  <c:v>2040</c:v>
                </c:pt>
                <c:pt idx="54">
                  <c:v>2041</c:v>
                </c:pt>
                <c:pt idx="55">
                  <c:v>2041</c:v>
                </c:pt>
                <c:pt idx="56">
                  <c:v>2042</c:v>
                </c:pt>
              </c:numCache>
            </c:numRef>
          </c:xVal>
          <c:yVal>
            <c:numRef>
              <c:f>'Adoption Path Sensitivity'!$B$20:$B$76</c:f>
              <c:numCache>
                <c:formatCode>0.0%</c:formatCode>
                <c:ptCount val="57"/>
                <c:pt idx="0">
                  <c:v>1.2351048422425232E-2</c:v>
                </c:pt>
                <c:pt idx="1">
                  <c:v>1.5460307108568612E-2</c:v>
                </c:pt>
                <c:pt idx="2">
                  <c:v>1.9335242265777031E-2</c:v>
                </c:pt>
                <c:pt idx="3">
                  <c:v>2.41548606003936E-2</c:v>
                </c:pt>
                <c:pt idx="4">
                  <c:v>3.0134737298405958E-2</c:v>
                </c:pt>
                <c:pt idx="5">
                  <c:v>3.7531578888749341E-2</c:v>
                </c:pt>
                <c:pt idx="6">
                  <c:v>4.664667859621878E-2</c:v>
                </c:pt>
                <c:pt idx="7">
                  <c:v>5.7827087827999189E-2</c:v>
                </c:pt>
                <c:pt idx="8">
                  <c:v>7.1462837510430602E-2</c:v>
                </c:pt>
                <c:pt idx="9">
                  <c:v>8.7978033791753577E-2</c:v>
                </c:pt>
                <c:pt idx="10">
                  <c:v>0.10781327641546889</c:v>
                </c:pt>
                <c:pt idx="11">
                  <c:v>0.13139687614512202</c:v>
                </c:pt>
                <c:pt idx="12">
                  <c:v>0.15910317286192696</c:v>
                </c:pt>
                <c:pt idx="13">
                  <c:v>0.1911983138756046</c:v>
                </c:pt>
                <c:pt idx="14">
                  <c:v>0.22777740174967748</c:v>
                </c:pt>
                <c:pt idx="15">
                  <c:v>0.26870167513792326</c:v>
                </c:pt>
                <c:pt idx="16">
                  <c:v>0.31354912165664539</c:v>
                </c:pt>
                <c:pt idx="17">
                  <c:v>0.36159441511224227</c:v>
                </c:pt>
                <c:pt idx="18">
                  <c:v>0.41183178752844418</c:v>
                </c:pt>
                <c:pt idx="19">
                  <c:v>0.46304608349379167</c:v>
                </c:pt>
                <c:pt idx="20">
                  <c:v>0.51392435272291592</c:v>
                </c:pt>
                <c:pt idx="21">
                  <c:v>0.56318759400804175</c:v>
                </c:pt>
                <c:pt idx="22">
                  <c:v>0.60971541918080885</c:v>
                </c:pt>
                <c:pt idx="23">
                  <c:v>0.65263884559728413</c:v>
                </c:pt>
                <c:pt idx="24">
                  <c:v>0.69138692267647406</c:v>
                </c:pt>
                <c:pt idx="25">
                  <c:v>0.72568644200962729</c:v>
                </c:pt>
                <c:pt idx="26">
                  <c:v>0.75552497647537009</c:v>
                </c:pt>
                <c:pt idx="27">
                  <c:v>0.78109274787283411</c:v>
                </c:pt>
                <c:pt idx="28">
                  <c:v>0.80271839199469108</c:v>
                </c:pt>
                <c:pt idx="29">
                  <c:v>0.82080973187535744</c:v>
                </c:pt>
                <c:pt idx="30">
                  <c:v>0.83580570452082803</c:v>
                </c:pt>
                <c:pt idx="31">
                  <c:v>0.8481413583530294</c:v>
                </c:pt>
                <c:pt idx="32">
                  <c:v>0.85822505615555278</c:v>
                </c:pt>
                <c:pt idx="33">
                  <c:v>0.86642563795026339</c:v>
                </c:pt>
                <c:pt idx="34">
                  <c:v>0.87306693345426178</c:v>
                </c:pt>
                <c:pt idx="35">
                  <c:v>0.87842723338359496</c:v>
                </c:pt>
                <c:pt idx="36">
                  <c:v>0.88274179853683599</c:v>
                </c:pt>
                <c:pt idx="37">
                  <c:v>0.88620699772993738</c:v>
                </c:pt>
                <c:pt idx="38">
                  <c:v>0.89120923060054069</c:v>
                </c:pt>
                <c:pt idx="39">
                  <c:v>0.89120923060054069</c:v>
                </c:pt>
                <c:pt idx="40">
                  <c:v>0.894408776626612</c:v>
                </c:pt>
                <c:pt idx="41">
                  <c:v>0.894408776626612</c:v>
                </c:pt>
                <c:pt idx="42">
                  <c:v>0.89644843568606847</c:v>
                </c:pt>
                <c:pt idx="43">
                  <c:v>0.89644843568606847</c:v>
                </c:pt>
                <c:pt idx="44">
                  <c:v>0.89774590931758746</c:v>
                </c:pt>
                <c:pt idx="45">
                  <c:v>0.89774590931758746</c:v>
                </c:pt>
                <c:pt idx="46">
                  <c:v>0.89857014002115643</c:v>
                </c:pt>
                <c:pt idx="47">
                  <c:v>0.89857014002115643</c:v>
                </c:pt>
                <c:pt idx="48">
                  <c:v>0.89909328695910729</c:v>
                </c:pt>
                <c:pt idx="49">
                  <c:v>0.89909328695910729</c:v>
                </c:pt>
                <c:pt idx="50">
                  <c:v>0.89942515108778487</c:v>
                </c:pt>
                <c:pt idx="51">
                  <c:v>0.89942515108778487</c:v>
                </c:pt>
                <c:pt idx="52">
                  <c:v>0.89963559955576089</c:v>
                </c:pt>
                <c:pt idx="53">
                  <c:v>0.89963559955576089</c:v>
                </c:pt>
                <c:pt idx="54">
                  <c:v>0.8997690239861994</c:v>
                </c:pt>
                <c:pt idx="55">
                  <c:v>0.8997690239861994</c:v>
                </c:pt>
                <c:pt idx="56">
                  <c:v>0.89985360330130715</c:v>
                </c:pt>
              </c:numCache>
            </c:numRef>
          </c:yVal>
          <c:smooth val="1"/>
          <c:extLst>
            <c:ext xmlns:c16="http://schemas.microsoft.com/office/drawing/2014/chart" uri="{C3380CC4-5D6E-409C-BE32-E72D297353CC}">
              <c16:uniqueId val="{00000000-2F7C-7749-838D-BCA7CD059DFD}"/>
            </c:ext>
          </c:extLst>
        </c:ser>
        <c:dLbls>
          <c:showLegendKey val="0"/>
          <c:showVal val="0"/>
          <c:showCatName val="0"/>
          <c:showSerName val="0"/>
          <c:showPercent val="0"/>
          <c:showBubbleSize val="0"/>
        </c:dLbls>
        <c:axId val="1990618544"/>
        <c:axId val="1"/>
      </c:scatterChart>
      <c:valAx>
        <c:axId val="1990618544"/>
        <c:scaling>
          <c:orientation val="minMax"/>
          <c:max val="2042"/>
          <c:min val="2014"/>
        </c:scaling>
        <c:delete val="0"/>
        <c:axPos val="b"/>
        <c:title>
          <c:tx>
            <c:rich>
              <a:bodyPr/>
              <a:lstStyle/>
              <a:p>
                <a:pPr>
                  <a:defRPr sz="1800" b="0">
                    <a:solidFill>
                      <a:schemeClr val="tx1"/>
                    </a:solidFill>
                    <a:latin typeface="Arial" panose="020B0604020202020204" pitchFamily="34" charset="0"/>
                    <a:cs typeface="Arial" panose="020B0604020202020204" pitchFamily="34" charset="0"/>
                  </a:defRPr>
                </a:pPr>
                <a:r>
                  <a:rPr lang="en-US" sz="1800" b="0">
                    <a:solidFill>
                      <a:schemeClr val="tx1"/>
                    </a:solidFill>
                    <a:latin typeface="Arial" panose="020B0604020202020204" pitchFamily="34" charset="0"/>
                    <a:cs typeface="Arial" panose="020B0604020202020204" pitchFamily="34" charset="0"/>
                  </a:rPr>
                  <a:t>Year</a:t>
                </a:r>
              </a:p>
            </c:rich>
          </c:tx>
          <c:overlay val="0"/>
        </c:title>
        <c:numFmt formatCode="0" sourceLinked="0"/>
        <c:majorTickMark val="out"/>
        <c:minorTickMark val="none"/>
        <c:tickLblPos val="nextTo"/>
        <c:txPr>
          <a:bodyPr rot="0" vert="horz"/>
          <a:lstStyle/>
          <a:p>
            <a:pPr>
              <a:defRPr sz="1200" b="0" i="0" u="none" strike="noStrike" baseline="0">
                <a:solidFill>
                  <a:srgbClr val="000000"/>
                </a:solidFill>
                <a:latin typeface="Arial" panose="020B0604020202020204" pitchFamily="34" charset="0"/>
                <a:ea typeface="Calibri"/>
                <a:cs typeface="Arial" panose="020B0604020202020204" pitchFamily="34" charset="0"/>
              </a:defRPr>
            </a:pPr>
            <a:endParaRPr lang="en-US"/>
          </a:p>
        </c:txPr>
        <c:crossAx val="1"/>
        <c:crosses val="autoZero"/>
        <c:crossBetween val="midCat"/>
        <c:majorUnit val="5"/>
      </c:valAx>
      <c:valAx>
        <c:axId val="1"/>
        <c:scaling>
          <c:orientation val="minMax"/>
          <c:max val="1"/>
          <c:min val="0"/>
        </c:scaling>
        <c:delete val="0"/>
        <c:axPos val="l"/>
        <c:title>
          <c:tx>
            <c:rich>
              <a:bodyPr/>
              <a:lstStyle/>
              <a:p>
                <a:pPr>
                  <a:defRPr sz="1800">
                    <a:latin typeface="Arial" panose="020B0604020202020204" pitchFamily="34" charset="0"/>
                    <a:cs typeface="Arial" panose="020B0604020202020204" pitchFamily="34" charset="0"/>
                  </a:defRPr>
                </a:pPr>
                <a:r>
                  <a:rPr lang="en-US" sz="1800">
                    <a:latin typeface="Arial" panose="020B0604020202020204" pitchFamily="34" charset="0"/>
                    <a:cs typeface="Arial" panose="020B0604020202020204" pitchFamily="34" charset="0"/>
                  </a:rPr>
                  <a:t>Adoption</a:t>
                </a:r>
                <a:r>
                  <a:rPr lang="en-US" sz="1800" baseline="0">
                    <a:latin typeface="Arial" panose="020B0604020202020204" pitchFamily="34" charset="0"/>
                    <a:cs typeface="Arial" panose="020B0604020202020204" pitchFamily="34" charset="0"/>
                  </a:rPr>
                  <a:t> Rate (%)</a:t>
                </a:r>
                <a:endParaRPr lang="en-US" sz="1800">
                  <a:latin typeface="Arial" panose="020B0604020202020204" pitchFamily="34" charset="0"/>
                  <a:cs typeface="Arial" panose="020B0604020202020204" pitchFamily="34" charset="0"/>
                </a:endParaRPr>
              </a:p>
            </c:rich>
          </c:tx>
          <c:overlay val="0"/>
        </c:title>
        <c:numFmt formatCode="0.0%" sourceLinked="1"/>
        <c:majorTickMark val="out"/>
        <c:minorTickMark val="none"/>
        <c:tickLblPos val="nextTo"/>
        <c:txPr>
          <a:bodyPr rot="0" vert="horz"/>
          <a:lstStyle/>
          <a:p>
            <a:pPr>
              <a:defRPr sz="1200" b="0" i="0" u="none" strike="noStrike" baseline="0">
                <a:solidFill>
                  <a:srgbClr val="000000"/>
                </a:solidFill>
                <a:latin typeface="Arial" panose="020B0604020202020204" pitchFamily="34" charset="0"/>
                <a:ea typeface="Calibri"/>
                <a:cs typeface="Arial" panose="020B0604020202020204" pitchFamily="34" charset="0"/>
              </a:defRPr>
            </a:pPr>
            <a:endParaRPr lang="en-US"/>
          </a:p>
        </c:txPr>
        <c:crossAx val="1990618544"/>
        <c:crosses val="autoZero"/>
        <c:crossBetween val="midCat"/>
        <c:majorUnit val="0.1"/>
      </c:valAx>
    </c:plotArea>
    <c:legend>
      <c:legendPos val="l"/>
      <c:layout>
        <c:manualLayout>
          <c:xMode val="edge"/>
          <c:yMode val="edge"/>
          <c:x val="0.14871486011057128"/>
          <c:y val="0.1022164701787967"/>
          <c:w val="0.4166470249772965"/>
          <c:h val="0.11281746204376387"/>
        </c:manualLayout>
      </c:layout>
      <c:overlay val="0"/>
      <c:txPr>
        <a:bodyPr/>
        <a:lstStyle/>
        <a:p>
          <a:pPr>
            <a:defRPr sz="1200">
              <a:latin typeface="Arial" panose="020B0604020202020204" pitchFamily="34" charset="0"/>
              <a:cs typeface="Arial" panose="020B0604020202020204" pitchFamily="34" charset="0"/>
            </a:defRPr>
          </a:pPr>
          <a:endParaRPr lang="en-US"/>
        </a:p>
      </c:txPr>
    </c:legend>
    <c:plotVisOnly val="1"/>
    <c:dispBlanksAs val="gap"/>
    <c:showDLblsOverMax val="0"/>
  </c:chart>
  <c:spPr>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480464408141154"/>
          <c:y val="3.8938053097345132E-2"/>
          <c:w val="0.79534956706924087"/>
          <c:h val="0.83922291129537996"/>
        </c:manualLayout>
      </c:layout>
      <c:scatterChart>
        <c:scatterStyle val="smoothMarker"/>
        <c:varyColors val="0"/>
        <c:ser>
          <c:idx val="0"/>
          <c:order val="0"/>
          <c:tx>
            <c:v>Fluopyram</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'Adoption Path Sensitivity'!$M$20:$M$76</c:f>
              <c:numCache>
                <c:formatCode>0</c:formatCode>
                <c:ptCount val="57"/>
                <c:pt idx="0">
                  <c:v>2013.5</c:v>
                </c:pt>
                <c:pt idx="1">
                  <c:v>2014</c:v>
                </c:pt>
                <c:pt idx="2">
                  <c:v>2014.5</c:v>
                </c:pt>
                <c:pt idx="3">
                  <c:v>2015</c:v>
                </c:pt>
                <c:pt idx="4">
                  <c:v>2015.5</c:v>
                </c:pt>
                <c:pt idx="5">
                  <c:v>2016</c:v>
                </c:pt>
                <c:pt idx="6">
                  <c:v>2016.5</c:v>
                </c:pt>
                <c:pt idx="7">
                  <c:v>2017</c:v>
                </c:pt>
                <c:pt idx="8">
                  <c:v>2017.5</c:v>
                </c:pt>
                <c:pt idx="9">
                  <c:v>2018</c:v>
                </c:pt>
                <c:pt idx="10">
                  <c:v>2018.5</c:v>
                </c:pt>
                <c:pt idx="11">
                  <c:v>2019</c:v>
                </c:pt>
                <c:pt idx="12">
                  <c:v>2019.5</c:v>
                </c:pt>
                <c:pt idx="13">
                  <c:v>2020</c:v>
                </c:pt>
                <c:pt idx="14">
                  <c:v>2020.5</c:v>
                </c:pt>
                <c:pt idx="15">
                  <c:v>2021</c:v>
                </c:pt>
                <c:pt idx="16">
                  <c:v>2021.5</c:v>
                </c:pt>
                <c:pt idx="17">
                  <c:v>2022</c:v>
                </c:pt>
                <c:pt idx="18">
                  <c:v>2022.5</c:v>
                </c:pt>
                <c:pt idx="19">
                  <c:v>2023</c:v>
                </c:pt>
                <c:pt idx="20">
                  <c:v>2023.5</c:v>
                </c:pt>
                <c:pt idx="21">
                  <c:v>2024</c:v>
                </c:pt>
                <c:pt idx="22">
                  <c:v>2024.5</c:v>
                </c:pt>
                <c:pt idx="23">
                  <c:v>2025</c:v>
                </c:pt>
                <c:pt idx="24">
                  <c:v>2025.5</c:v>
                </c:pt>
                <c:pt idx="25">
                  <c:v>2026</c:v>
                </c:pt>
                <c:pt idx="26">
                  <c:v>2026.5</c:v>
                </c:pt>
                <c:pt idx="27">
                  <c:v>2027</c:v>
                </c:pt>
                <c:pt idx="28">
                  <c:v>2027.5</c:v>
                </c:pt>
                <c:pt idx="29">
                  <c:v>2028</c:v>
                </c:pt>
                <c:pt idx="30">
                  <c:v>2028.5</c:v>
                </c:pt>
                <c:pt idx="31">
                  <c:v>2029</c:v>
                </c:pt>
                <c:pt idx="32">
                  <c:v>2029.5</c:v>
                </c:pt>
                <c:pt idx="33">
                  <c:v>2030</c:v>
                </c:pt>
                <c:pt idx="34">
                  <c:v>2030.5</c:v>
                </c:pt>
                <c:pt idx="35">
                  <c:v>2031</c:v>
                </c:pt>
                <c:pt idx="36">
                  <c:v>2031.5</c:v>
                </c:pt>
                <c:pt idx="37">
                  <c:v>2032</c:v>
                </c:pt>
                <c:pt idx="38">
                  <c:v>2033</c:v>
                </c:pt>
                <c:pt idx="39">
                  <c:v>2033</c:v>
                </c:pt>
                <c:pt idx="40">
                  <c:v>2034</c:v>
                </c:pt>
                <c:pt idx="41">
                  <c:v>2034</c:v>
                </c:pt>
                <c:pt idx="42">
                  <c:v>2035</c:v>
                </c:pt>
                <c:pt idx="43">
                  <c:v>2035</c:v>
                </c:pt>
                <c:pt idx="44">
                  <c:v>2036</c:v>
                </c:pt>
                <c:pt idx="45">
                  <c:v>2036</c:v>
                </c:pt>
                <c:pt idx="46">
                  <c:v>2037</c:v>
                </c:pt>
                <c:pt idx="47">
                  <c:v>2037</c:v>
                </c:pt>
                <c:pt idx="48">
                  <c:v>2038</c:v>
                </c:pt>
                <c:pt idx="49">
                  <c:v>2038</c:v>
                </c:pt>
                <c:pt idx="50">
                  <c:v>2039</c:v>
                </c:pt>
                <c:pt idx="51">
                  <c:v>2039</c:v>
                </c:pt>
                <c:pt idx="52">
                  <c:v>2040</c:v>
                </c:pt>
                <c:pt idx="53">
                  <c:v>2040</c:v>
                </c:pt>
                <c:pt idx="54">
                  <c:v>2041</c:v>
                </c:pt>
                <c:pt idx="55">
                  <c:v>2041</c:v>
                </c:pt>
                <c:pt idx="56">
                  <c:v>2042</c:v>
                </c:pt>
              </c:numCache>
            </c:numRef>
          </c:xVal>
          <c:yVal>
            <c:numRef>
              <c:f>'Adoption Path Sensitivity'!$N$20:$N$76</c:f>
              <c:numCache>
                <c:formatCode>0.0%</c:formatCode>
                <c:ptCount val="57"/>
                <c:pt idx="0">
                  <c:v>1.3851156776486172E-2</c:v>
                </c:pt>
                <c:pt idx="1">
                  <c:v>1.7112365128559789E-2</c:v>
                </c:pt>
                <c:pt idx="2">
                  <c:v>2.1123111037367217E-2</c:v>
                </c:pt>
                <c:pt idx="3">
                  <c:v>2.6046151978025765E-2</c:v>
                </c:pt>
                <c:pt idx="4">
                  <c:v>3.2074703588869526E-2</c:v>
                </c:pt>
                <c:pt idx="5">
                  <c:v>3.9435640136344222E-2</c:v>
                </c:pt>
                <c:pt idx="6">
                  <c:v>4.8391676718097063E-2</c:v>
                </c:pt>
                <c:pt idx="7">
                  <c:v>5.9241656343988473E-2</c:v>
                </c:pt>
                <c:pt idx="8">
                  <c:v>7.2317746390157547E-2</c:v>
                </c:pt>
                <c:pt idx="9">
                  <c:v>8.797803379175699E-2</c:v>
                </c:pt>
                <c:pt idx="10">
                  <c:v>0.10659279453541207</c:v>
                </c:pt>
                <c:pt idx="11">
                  <c:v>0.12852276417931666</c:v>
                </c:pt>
                <c:pt idx="12">
                  <c:v>0.15408827973513886</c:v>
                </c:pt>
                <c:pt idx="13">
                  <c:v>0.18352944661735834</c:v>
                </c:pt>
                <c:pt idx="14">
                  <c:v>0.21695966195384636</c:v>
                </c:pt>
                <c:pt idx="15">
                  <c:v>0.25431777182640392</c:v>
                </c:pt>
                <c:pt idx="16">
                  <c:v>0.29532724386137993</c:v>
                </c:pt>
                <c:pt idx="17">
                  <c:v>0.33947282623794345</c:v>
                </c:pt>
                <c:pt idx="18">
                  <c:v>0.38600476771296754</c:v>
                </c:pt>
                <c:pt idx="19">
                  <c:v>0.43397671545132244</c:v>
                </c:pt>
                <c:pt idx="20">
                  <c:v>0.48231611134062968</c:v>
                </c:pt>
                <c:pt idx="21">
                  <c:v>0.52991728272504257</c:v>
                </c:pt>
                <c:pt idx="22">
                  <c:v>0.57574071087972301</c:v>
                </c:pt>
                <c:pt idx="23">
                  <c:v>0.61890004902581786</c:v>
                </c:pt>
                <c:pt idx="24">
                  <c:v>0.65872221836677991</c:v>
                </c:pt>
                <c:pt idx="25">
                  <c:v>0.69477364889436877</c:v>
                </c:pt>
                <c:pt idx="26">
                  <c:v>0.72685423401904536</c:v>
                </c:pt>
                <c:pt idx="27">
                  <c:v>0.75496687226177861</c:v>
                </c:pt>
                <c:pt idx="28">
                  <c:v>0.77927316746790654</c:v>
                </c:pt>
                <c:pt idx="29">
                  <c:v>0.8000452574002298</c:v>
                </c:pt>
                <c:pt idx="30">
                  <c:v>0.81762114854910173</c:v>
                </c:pt>
                <c:pt idx="31">
                  <c:v>0.83236777999045553</c:v>
                </c:pt>
                <c:pt idx="32">
                  <c:v>0.8446533119293157</c:v>
                </c:pt>
                <c:pt idx="33">
                  <c:v>0.85482826333047546</c:v>
                </c:pt>
                <c:pt idx="34">
                  <c:v>0.86321411455955321</c:v>
                </c:pt>
                <c:pt idx="35">
                  <c:v>0.87009764184746918</c:v>
                </c:pt>
                <c:pt idx="36">
                  <c:v>0.87572931131996745</c:v>
                </c:pt>
                <c:pt idx="37">
                  <c:v>0.88032432314993314</c:v>
                </c:pt>
                <c:pt idx="38">
                  <c:v>0.88710528702111502</c:v>
                </c:pt>
                <c:pt idx="39">
                  <c:v>0.88710528702111502</c:v>
                </c:pt>
                <c:pt idx="40">
                  <c:v>0.89157165513487813</c:v>
                </c:pt>
                <c:pt idx="41">
                  <c:v>0.89157165513487813</c:v>
                </c:pt>
                <c:pt idx="42">
                  <c:v>0.89450058862486559</c:v>
                </c:pt>
                <c:pt idx="43">
                  <c:v>0.89450058862486559</c:v>
                </c:pt>
                <c:pt idx="44">
                  <c:v>0.89641578046445014</c:v>
                </c:pt>
                <c:pt idx="45">
                  <c:v>0.89641578046445014</c:v>
                </c:pt>
                <c:pt idx="46">
                  <c:v>0.89766573965613172</c:v>
                </c:pt>
                <c:pt idx="47">
                  <c:v>0.89766573965613172</c:v>
                </c:pt>
                <c:pt idx="48">
                  <c:v>0.89848052750364804</c:v>
                </c:pt>
                <c:pt idx="49">
                  <c:v>0.89848052750364804</c:v>
                </c:pt>
                <c:pt idx="50">
                  <c:v>0.89901122194411032</c:v>
                </c:pt>
                <c:pt idx="51">
                  <c:v>0.89901122194411032</c:v>
                </c:pt>
                <c:pt idx="52">
                  <c:v>0.89935669753985925</c:v>
                </c:pt>
                <c:pt idx="53">
                  <c:v>0.89935669753985925</c:v>
                </c:pt>
                <c:pt idx="54">
                  <c:v>0.89958152135837954</c:v>
                </c:pt>
                <c:pt idx="55">
                  <c:v>0.89958152135837954</c:v>
                </c:pt>
                <c:pt idx="56">
                  <c:v>0.89972779666496105</c:v>
                </c:pt>
              </c:numCache>
            </c:numRef>
          </c:yVal>
          <c:smooth val="1"/>
          <c:extLst>
            <c:ext xmlns:c16="http://schemas.microsoft.com/office/drawing/2014/chart" uri="{C3380CC4-5D6E-409C-BE32-E72D297353CC}">
              <c16:uniqueId val="{00000000-714C-554C-9BD8-83C7CB3B1576}"/>
            </c:ext>
          </c:extLst>
        </c:ser>
        <c:dLbls>
          <c:showLegendKey val="0"/>
          <c:showVal val="0"/>
          <c:showCatName val="0"/>
          <c:showSerName val="0"/>
          <c:showPercent val="0"/>
          <c:showBubbleSize val="0"/>
        </c:dLbls>
        <c:axId val="1576065536"/>
        <c:axId val="1297755616"/>
      </c:scatterChart>
      <c:valAx>
        <c:axId val="15760655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r>
                  <a:rPr lang="en-US">
                    <a:solidFill>
                      <a:schemeClr val="tx1"/>
                    </a:solidFill>
                  </a:rPr>
                  <a:t>Year</a:t>
                </a:r>
              </a:p>
            </c:rich>
          </c:tx>
          <c:layout>
            <c:manualLayout>
              <c:xMode val="edge"/>
              <c:yMode val="edge"/>
              <c:x val="0.51556365062908061"/>
              <c:y val="0.92410786704759251"/>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title>
        <c:numFmt formatCode="0"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297755616"/>
        <c:crosses val="autoZero"/>
        <c:crossBetween val="midCat"/>
      </c:valAx>
      <c:valAx>
        <c:axId val="1297755616"/>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r>
                  <a:rPr lang="en-US">
                    <a:solidFill>
                      <a:schemeClr val="tx1"/>
                    </a:solidFill>
                  </a:rPr>
                  <a:t>Adoption Rate (%)</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title>
        <c:numFmt formatCode="0.0%"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576065536"/>
        <c:crosses val="autoZero"/>
        <c:crossBetween val="midCat"/>
      </c:valAx>
      <c:spPr>
        <a:noFill/>
        <a:ln>
          <a:noFill/>
        </a:ln>
        <a:effectLst/>
      </c:spPr>
    </c:plotArea>
    <c:legend>
      <c:legendPos val="b"/>
      <c:layout>
        <c:manualLayout>
          <c:xMode val="edge"/>
          <c:yMode val="edge"/>
          <c:x val="0.62789437797143688"/>
          <c:y val="0.6101813114068706"/>
          <c:w val="0.35312578810211004"/>
          <c:h val="0.19451160197895617"/>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v>Epidemic Incidence</c:v>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1"/>
            <c:trendlineLbl>
              <c:layout>
                <c:manualLayout>
                  <c:x val="0.16363495188101487"/>
                  <c:y val="-0.19090660542432197"/>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trendlineLbl>
          </c:trendline>
          <c:xVal>
            <c:numRef>
              <c:f>('Incidence Sensitivity'!$A$9,'Incidence Sensitivity'!$A$13,'Incidence Sensitivity'!$A$19,'Incidence Sensitivity'!$A$23)</c:f>
              <c:numCache>
                <c:formatCode>General</c:formatCode>
                <c:ptCount val="4"/>
                <c:pt idx="0">
                  <c:v>2000</c:v>
                </c:pt>
                <c:pt idx="1">
                  <c:v>2004</c:v>
                </c:pt>
                <c:pt idx="2">
                  <c:v>2010</c:v>
                </c:pt>
                <c:pt idx="3">
                  <c:v>2014</c:v>
                </c:pt>
              </c:numCache>
            </c:numRef>
          </c:xVal>
          <c:yVal>
            <c:numRef>
              <c:f>('Incidence Sensitivity'!$E$9,'Incidence Sensitivity'!$E$13,'Incidence Sensitivity'!$E$19,'Incidence Sensitivity'!$E$23)</c:f>
              <c:numCache>
                <c:formatCode>General</c:formatCode>
                <c:ptCount val="4"/>
                <c:pt idx="0">
                  <c:v>26.737964139987167</c:v>
                </c:pt>
                <c:pt idx="1">
                  <c:v>13.369364828043416</c:v>
                </c:pt>
                <c:pt idx="2">
                  <c:v>20.605669322636544</c:v>
                </c:pt>
                <c:pt idx="3">
                  <c:v>15.484857652881027</c:v>
                </c:pt>
              </c:numCache>
            </c:numRef>
          </c:yVal>
          <c:smooth val="0"/>
          <c:extLst>
            <c:ext xmlns:c16="http://schemas.microsoft.com/office/drawing/2014/chart" uri="{C3380CC4-5D6E-409C-BE32-E72D297353CC}">
              <c16:uniqueId val="{00000001-D944-F548-BFE7-CF4998EF72EA}"/>
            </c:ext>
          </c:extLst>
        </c:ser>
        <c:ser>
          <c:idx val="1"/>
          <c:order val="1"/>
          <c:tx>
            <c:v>Low Incidence</c:v>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1"/>
            <c:trendlineLbl>
              <c:layout>
                <c:manualLayout>
                  <c:x val="9.1089457567804025E-2"/>
                  <c:y val="0.15379848352289296"/>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trendlineLbl>
          </c:trendline>
          <c:xVal>
            <c:numRef>
              <c:f>('Incidence Sensitivity'!$A$5:$A$8,'Incidence Sensitivity'!$A$10:$A$12,'Incidence Sensitivity'!$A$14:$A$18,'Incidence Sensitivity'!$A$20:$A$22,'Incidence Sensitivity'!$A$24)</c:f>
              <c:numCache>
                <c:formatCode>General</c:formatCode>
                <c:ptCount val="16"/>
                <c:pt idx="0">
                  <c:v>1996</c:v>
                </c:pt>
                <c:pt idx="1">
                  <c:v>1997</c:v>
                </c:pt>
                <c:pt idx="2">
                  <c:v>1998</c:v>
                </c:pt>
                <c:pt idx="3">
                  <c:v>1999</c:v>
                </c:pt>
                <c:pt idx="4">
                  <c:v>2001</c:v>
                </c:pt>
                <c:pt idx="5">
                  <c:v>2002</c:v>
                </c:pt>
                <c:pt idx="6">
                  <c:v>2003</c:v>
                </c:pt>
                <c:pt idx="7">
                  <c:v>2005</c:v>
                </c:pt>
                <c:pt idx="8">
                  <c:v>2006</c:v>
                </c:pt>
                <c:pt idx="9">
                  <c:v>2007</c:v>
                </c:pt>
                <c:pt idx="10">
                  <c:v>2008</c:v>
                </c:pt>
                <c:pt idx="11">
                  <c:v>2009</c:v>
                </c:pt>
                <c:pt idx="12">
                  <c:v>2011</c:v>
                </c:pt>
                <c:pt idx="13">
                  <c:v>2012</c:v>
                </c:pt>
                <c:pt idx="14">
                  <c:v>2013</c:v>
                </c:pt>
                <c:pt idx="15">
                  <c:v>2015</c:v>
                </c:pt>
              </c:numCache>
            </c:numRef>
          </c:xVal>
          <c:yVal>
            <c:numRef>
              <c:f>('Incidence Sensitivity'!$E$5:$E$8,'Incidence Sensitivity'!$E$10:$E$12,'Incidence Sensitivity'!$E$14:$E$18,'Incidence Sensitivity'!$E$20:$E$22,'Incidence Sensitivity'!$E$24)</c:f>
              <c:numCache>
                <c:formatCode>General</c:formatCode>
                <c:ptCount val="16"/>
                <c:pt idx="0">
                  <c:v>1.5557996848131885</c:v>
                </c:pt>
                <c:pt idx="1">
                  <c:v>4.1342088186577923</c:v>
                </c:pt>
                <c:pt idx="2">
                  <c:v>11.930668960254293</c:v>
                </c:pt>
                <c:pt idx="3">
                  <c:v>7.1908533512608956</c:v>
                </c:pt>
                <c:pt idx="4">
                  <c:v>8.0255477821561527</c:v>
                </c:pt>
                <c:pt idx="5">
                  <c:v>10.305061861611685</c:v>
                </c:pt>
                <c:pt idx="6">
                  <c:v>5.036492950414857</c:v>
                </c:pt>
                <c:pt idx="7">
                  <c:v>6.4273874251948797</c:v>
                </c:pt>
                <c:pt idx="8">
                  <c:v>8.47382450498535</c:v>
                </c:pt>
                <c:pt idx="9">
                  <c:v>8.1794757325795278</c:v>
                </c:pt>
                <c:pt idx="10">
                  <c:v>6.8326538727911954</c:v>
                </c:pt>
                <c:pt idx="11">
                  <c:v>10.152841900404193</c:v>
                </c:pt>
                <c:pt idx="12">
                  <c:v>7.0112001065372462</c:v>
                </c:pt>
                <c:pt idx="13">
                  <c:v>6.6670725405922093</c:v>
                </c:pt>
                <c:pt idx="14">
                  <c:v>8.4317161707719404</c:v>
                </c:pt>
                <c:pt idx="15">
                  <c:v>11.023889796365586</c:v>
                </c:pt>
              </c:numCache>
            </c:numRef>
          </c:yVal>
          <c:smooth val="0"/>
          <c:extLst>
            <c:ext xmlns:c16="http://schemas.microsoft.com/office/drawing/2014/chart" uri="{C3380CC4-5D6E-409C-BE32-E72D297353CC}">
              <c16:uniqueId val="{00000003-D944-F548-BFE7-CF4998EF72EA}"/>
            </c:ext>
          </c:extLst>
        </c:ser>
        <c:dLbls>
          <c:showLegendKey val="0"/>
          <c:showVal val="0"/>
          <c:showCatName val="0"/>
          <c:showSerName val="0"/>
          <c:showPercent val="0"/>
          <c:showBubbleSize val="0"/>
        </c:dLbls>
        <c:axId val="1855706704"/>
        <c:axId val="1812907712"/>
      </c:scatterChart>
      <c:valAx>
        <c:axId val="185570670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r>
                  <a:rPr lang="en-US"/>
                  <a:t>Year</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812907712"/>
        <c:crosses val="autoZero"/>
        <c:crossBetween val="midCat"/>
      </c:valAx>
      <c:valAx>
        <c:axId val="18129077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r>
                  <a:rPr lang="en-US"/>
                  <a:t>Incidence (%)</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855706704"/>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12</xdr:col>
      <xdr:colOff>292100</xdr:colOff>
      <xdr:row>1</xdr:row>
      <xdr:rowOff>177800</xdr:rowOff>
    </xdr:from>
    <xdr:to>
      <xdr:col>18</xdr:col>
      <xdr:colOff>285750</xdr:colOff>
      <xdr:row>21</xdr:row>
      <xdr:rowOff>12700</xdr:rowOff>
    </xdr:to>
    <xdr:graphicFrame macro="">
      <xdr:nvGraphicFramePr>
        <xdr:cNvPr id="4" name="Chart 3">
          <a:extLst>
            <a:ext uri="{FF2B5EF4-FFF2-40B4-BE49-F238E27FC236}">
              <a16:creationId xmlns:a16="http://schemas.microsoft.com/office/drawing/2014/main" id="{84F2EE7E-5709-0B44-A665-820C7B75D3E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7</xdr:col>
      <xdr:colOff>165101</xdr:colOff>
      <xdr:row>15</xdr:row>
      <xdr:rowOff>977901</xdr:rowOff>
    </xdr:from>
    <xdr:to>
      <xdr:col>14</xdr:col>
      <xdr:colOff>381001</xdr:colOff>
      <xdr:row>35</xdr:row>
      <xdr:rowOff>139700</xdr:rowOff>
    </xdr:to>
    <xdr:graphicFrame macro="">
      <xdr:nvGraphicFramePr>
        <xdr:cNvPr id="2" name="Chart 1">
          <a:extLst>
            <a:ext uri="{FF2B5EF4-FFF2-40B4-BE49-F238E27FC236}">
              <a16:creationId xmlns:a16="http://schemas.microsoft.com/office/drawing/2014/main" id="{4F3938B3-D0DC-9146-A6E1-7C5394E5A15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4</xdr:col>
      <xdr:colOff>342900</xdr:colOff>
      <xdr:row>18</xdr:row>
      <xdr:rowOff>838200</xdr:rowOff>
    </xdr:from>
    <xdr:to>
      <xdr:col>10</xdr:col>
      <xdr:colOff>482600</xdr:colOff>
      <xdr:row>40</xdr:row>
      <xdr:rowOff>50800</xdr:rowOff>
    </xdr:to>
    <xdr:graphicFrame macro="">
      <xdr:nvGraphicFramePr>
        <xdr:cNvPr id="2" name="Chart 1">
          <a:extLst>
            <a:ext uri="{FF2B5EF4-FFF2-40B4-BE49-F238E27FC236}">
              <a16:creationId xmlns:a16="http://schemas.microsoft.com/office/drawing/2014/main" id="{39EE23AE-0BF2-664B-988B-A48CC91F5AB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xdr:col>
      <xdr:colOff>475040</xdr:colOff>
      <xdr:row>18</xdr:row>
      <xdr:rowOff>1204081</xdr:rowOff>
    </xdr:from>
    <xdr:to>
      <xdr:col>27</xdr:col>
      <xdr:colOff>136072</xdr:colOff>
      <xdr:row>37</xdr:row>
      <xdr:rowOff>175381</xdr:rowOff>
    </xdr:to>
    <xdr:graphicFrame macro="">
      <xdr:nvGraphicFramePr>
        <xdr:cNvPr id="3" name="Chart 2">
          <a:extLst>
            <a:ext uri="{FF2B5EF4-FFF2-40B4-BE49-F238E27FC236}">
              <a16:creationId xmlns:a16="http://schemas.microsoft.com/office/drawing/2014/main" id="{B61D3626-E226-D04F-8F52-FCCE1EA356C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7</xdr:col>
      <xdr:colOff>495300</xdr:colOff>
      <xdr:row>28</xdr:row>
      <xdr:rowOff>76200</xdr:rowOff>
    </xdr:from>
    <xdr:to>
      <xdr:col>12</xdr:col>
      <xdr:colOff>0</xdr:colOff>
      <xdr:row>47</xdr:row>
      <xdr:rowOff>114300</xdr:rowOff>
    </xdr:to>
    <xdr:graphicFrame macro="">
      <xdr:nvGraphicFramePr>
        <xdr:cNvPr id="2" name="Chart 1">
          <a:extLst>
            <a:ext uri="{FF2B5EF4-FFF2-40B4-BE49-F238E27FC236}">
              <a16:creationId xmlns:a16="http://schemas.microsoft.com/office/drawing/2014/main" id="{1F1D4D71-A61B-AF4F-A628-A5735F44D55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24"/>
  <sheetViews>
    <sheetView workbookViewId="0">
      <selection activeCell="A8" sqref="A8:A24"/>
    </sheetView>
  </sheetViews>
  <sheetFormatPr baseColWidth="10" defaultColWidth="11" defaultRowHeight="16" x14ac:dyDescent="0.2"/>
  <sheetData>
    <row r="1" spans="1:1" x14ac:dyDescent="0.2">
      <c r="A1" t="s">
        <v>195</v>
      </c>
    </row>
    <row r="2" spans="1:1" x14ac:dyDescent="0.2">
      <c r="A2" t="s">
        <v>196</v>
      </c>
    </row>
    <row r="4" spans="1:1" x14ac:dyDescent="0.2">
      <c r="A4" t="s">
        <v>197</v>
      </c>
    </row>
    <row r="6" spans="1:1" x14ac:dyDescent="0.2">
      <c r="A6" t="s">
        <v>199</v>
      </c>
    </row>
    <row r="8" spans="1:1" x14ac:dyDescent="0.2">
      <c r="A8" t="s">
        <v>202</v>
      </c>
    </row>
    <row r="9" spans="1:1" x14ac:dyDescent="0.2">
      <c r="A9" t="s">
        <v>203</v>
      </c>
    </row>
    <row r="10" spans="1:1" x14ac:dyDescent="0.2">
      <c r="A10" t="s">
        <v>204</v>
      </c>
    </row>
    <row r="11" spans="1:1" x14ac:dyDescent="0.2">
      <c r="A11" t="s">
        <v>205</v>
      </c>
    </row>
    <row r="12" spans="1:1" x14ac:dyDescent="0.2">
      <c r="A12" t="s">
        <v>206</v>
      </c>
    </row>
    <row r="13" spans="1:1" x14ac:dyDescent="0.2">
      <c r="A13" t="s">
        <v>207</v>
      </c>
    </row>
    <row r="14" spans="1:1" x14ac:dyDescent="0.2">
      <c r="A14" t="s">
        <v>258</v>
      </c>
    </row>
    <row r="15" spans="1:1" x14ac:dyDescent="0.2">
      <c r="A15" t="s">
        <v>259</v>
      </c>
    </row>
    <row r="16" spans="1:1" x14ac:dyDescent="0.2">
      <c r="A16" t="s">
        <v>261</v>
      </c>
    </row>
    <row r="17" spans="1:1" x14ac:dyDescent="0.2">
      <c r="A17" t="s">
        <v>263</v>
      </c>
    </row>
    <row r="18" spans="1:1" x14ac:dyDescent="0.2">
      <c r="A18" t="s">
        <v>284</v>
      </c>
    </row>
    <row r="19" spans="1:1" x14ac:dyDescent="0.2">
      <c r="A19" t="s">
        <v>286</v>
      </c>
    </row>
    <row r="20" spans="1:1" x14ac:dyDescent="0.2">
      <c r="A20" t="s">
        <v>288</v>
      </c>
    </row>
    <row r="21" spans="1:1" x14ac:dyDescent="0.2">
      <c r="A21" t="s">
        <v>290</v>
      </c>
    </row>
    <row r="22" spans="1:1" x14ac:dyDescent="0.2">
      <c r="A22" t="s">
        <v>292</v>
      </c>
    </row>
    <row r="23" spans="1:1" x14ac:dyDescent="0.2">
      <c r="A23" t="s">
        <v>294</v>
      </c>
    </row>
    <row r="24" spans="1:1" x14ac:dyDescent="0.2">
      <c r="A24" t="s">
        <v>295</v>
      </c>
    </row>
  </sheetData>
  <pageMargins left="0.7" right="0.7" top="0.75" bottom="0.75" header="0.3" footer="0.3"/>
  <pageSetup scale="59" orientation="landscape" horizontalDpi="0" verticalDpi="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R29"/>
  <sheetViews>
    <sheetView tabSelected="1" topLeftCell="A2" workbookViewId="0">
      <selection activeCell="N5" sqref="N5:N19"/>
    </sheetView>
  </sheetViews>
  <sheetFormatPr baseColWidth="10" defaultColWidth="11" defaultRowHeight="16" x14ac:dyDescent="0.2"/>
  <cols>
    <col min="11" max="11" width="13.6640625" bestFit="1" customWidth="1"/>
    <col min="12" max="12" width="19" bestFit="1" customWidth="1"/>
    <col min="13" max="13" width="15.83203125" bestFit="1" customWidth="1"/>
    <col min="14" max="14" width="16.6640625" customWidth="1"/>
    <col min="15" max="16" width="15.83203125" bestFit="1" customWidth="1"/>
  </cols>
  <sheetData>
    <row r="1" spans="1:18" x14ac:dyDescent="0.2">
      <c r="A1" t="s">
        <v>262</v>
      </c>
    </row>
    <row r="2" spans="1:18" ht="19" x14ac:dyDescent="0.25">
      <c r="A2" s="102" t="s">
        <v>257</v>
      </c>
      <c r="B2" s="102"/>
      <c r="C2" s="102"/>
      <c r="D2" s="102"/>
      <c r="E2" s="102"/>
      <c r="F2" s="102"/>
      <c r="G2" s="102"/>
      <c r="H2" s="102"/>
      <c r="I2" s="102"/>
      <c r="J2" s="102"/>
      <c r="K2" s="102"/>
      <c r="L2" s="102"/>
      <c r="M2" s="102"/>
      <c r="N2" s="102"/>
      <c r="O2" s="102"/>
      <c r="P2" s="102"/>
      <c r="Q2" s="102"/>
      <c r="R2" s="102"/>
    </row>
    <row r="3" spans="1:18" ht="17" thickBot="1" x14ac:dyDescent="0.25">
      <c r="A3" s="66"/>
      <c r="B3" s="66"/>
      <c r="C3" s="66"/>
      <c r="D3" s="66"/>
      <c r="E3" s="66"/>
      <c r="F3" s="103" t="s">
        <v>238</v>
      </c>
      <c r="G3" s="103"/>
      <c r="H3" s="66"/>
      <c r="I3" s="66"/>
      <c r="J3" s="66"/>
      <c r="K3" s="66"/>
      <c r="L3" s="66"/>
      <c r="M3" s="66"/>
      <c r="N3" s="66"/>
      <c r="O3" s="66"/>
      <c r="P3" s="66"/>
      <c r="Q3" s="66"/>
      <c r="R3" s="66"/>
    </row>
    <row r="4" spans="1:18" ht="69" thickBot="1" x14ac:dyDescent="0.25">
      <c r="A4" s="67" t="s">
        <v>239</v>
      </c>
      <c r="B4" s="67" t="s">
        <v>240</v>
      </c>
      <c r="C4" s="67" t="s">
        <v>241</v>
      </c>
      <c r="D4" s="68" t="s">
        <v>242</v>
      </c>
      <c r="E4" s="68" t="s">
        <v>243</v>
      </c>
      <c r="F4" s="68" t="s">
        <v>244</v>
      </c>
      <c r="G4" s="68" t="s">
        <v>245</v>
      </c>
      <c r="H4" s="68" t="s">
        <v>246</v>
      </c>
      <c r="I4" s="67" t="s">
        <v>247</v>
      </c>
      <c r="J4" s="67" t="s">
        <v>248</v>
      </c>
      <c r="K4" s="67" t="s">
        <v>249</v>
      </c>
      <c r="L4" s="67" t="s">
        <v>250</v>
      </c>
      <c r="M4" s="67" t="s">
        <v>251</v>
      </c>
      <c r="N4" s="67" t="s">
        <v>252</v>
      </c>
      <c r="O4" s="67" t="s">
        <v>253</v>
      </c>
      <c r="P4" s="69"/>
      <c r="Q4" s="69"/>
    </row>
    <row r="5" spans="1:18" x14ac:dyDescent="0.2">
      <c r="A5" s="70">
        <v>2018</v>
      </c>
      <c r="B5" s="74">
        <v>0.3</v>
      </c>
      <c r="C5" s="74">
        <v>0.61099999999999999</v>
      </c>
      <c r="D5" s="79">
        <f>'Damage-Reduction Analysis'!E18</f>
        <v>5.925815543557306E-4</v>
      </c>
      <c r="E5" s="71">
        <f>D5/B5</f>
        <v>1.9752718478524356E-3</v>
      </c>
      <c r="F5" s="71">
        <f>'Seed Treatment Costs'!$E$63*('Adoption Path Fluopyram'!D21*'Incidence Parameters'!I5)</f>
        <v>2.2071094737672196E-4</v>
      </c>
      <c r="G5" s="71">
        <f>(F5/(1+D5))</f>
        <v>2.2058023559785124E-4</v>
      </c>
      <c r="H5" s="71">
        <f>(E5-G5)</f>
        <v>1.7546916122545843E-3</v>
      </c>
      <c r="I5" s="71">
        <f t="shared" ref="I5:I19" si="0">(H5)</f>
        <v>1.7546916122545843E-3</v>
      </c>
      <c r="J5" s="72">
        <f>'Soybean Prices and Production'!B7*35.74</f>
        <v>333.45420000000001</v>
      </c>
      <c r="K5" s="72">
        <f>('Soybean Prices and Production'!C7/36.74)</f>
        <v>120059880.23952095</v>
      </c>
      <c r="L5" s="72">
        <f>(I5*J5*K5*(1+0.5*I5*B5))</f>
        <v>70266640.597833678</v>
      </c>
      <c r="M5" s="73">
        <f>'Research and Outreach Costs'!E61</f>
        <v>1194761.7375</v>
      </c>
      <c r="N5" s="72">
        <f t="shared" ref="N5:N19" si="1">(L5-M5)</f>
        <v>69071878.860333681</v>
      </c>
      <c r="O5" s="72">
        <f>NPV(0.05,N5:N19)</f>
        <v>5829701485.5576878</v>
      </c>
      <c r="P5" s="69"/>
      <c r="Q5" s="69"/>
    </row>
    <row r="6" spans="1:18" x14ac:dyDescent="0.2">
      <c r="A6" s="70">
        <v>2019</v>
      </c>
      <c r="B6" s="74">
        <v>0.3</v>
      </c>
      <c r="C6" s="74">
        <v>0.61099999999999999</v>
      </c>
      <c r="D6" s="79">
        <f>'Damage-Reduction Analysis'!E19</f>
        <v>9.6296492601853471E-4</v>
      </c>
      <c r="E6" s="71">
        <f t="shared" ref="E6:E19" si="2">D6/B6</f>
        <v>3.2098830867284493E-3</v>
      </c>
      <c r="F6" s="71">
        <f>'Seed Treatment Costs'!$E$63*('Adoption Path Fluopyram'!D22*'Incidence Parameters'!I6)</f>
        <v>3.5613229192037914E-4</v>
      </c>
      <c r="G6" s="71">
        <f>(F6/(1+D6))</f>
        <v>3.5578967893852196E-4</v>
      </c>
      <c r="H6" s="71">
        <f>(E6-G6)</f>
        <v>2.8540934077899271E-3</v>
      </c>
      <c r="I6" s="71">
        <f>(H6)</f>
        <v>2.8540934077899271E-3</v>
      </c>
      <c r="J6" s="72">
        <f>'Soybean Prices and Production'!B8*35.74</f>
        <v>307.36400000000003</v>
      </c>
      <c r="K6" s="72">
        <f>('Soybean Prices and Production'!C8/36.74)</f>
        <v>127653783.34240609</v>
      </c>
      <c r="L6" s="72">
        <f t="shared" ref="L6:L19" si="3">(I6*J6*K6*(1+0.5*I6*B6))</f>
        <v>112031657.24235728</v>
      </c>
      <c r="M6" s="73">
        <f>'Research and Outreach Costs'!E62</f>
        <v>1959772.8384210526</v>
      </c>
      <c r="N6" s="72">
        <f>(L6-M6)</f>
        <v>110071884.40393624</v>
      </c>
      <c r="O6" s="72"/>
      <c r="P6" s="69"/>
      <c r="Q6" s="69"/>
    </row>
    <row r="7" spans="1:18" x14ac:dyDescent="0.2">
      <c r="A7" s="70">
        <v>2020</v>
      </c>
      <c r="B7" s="74">
        <v>0.3</v>
      </c>
      <c r="C7" s="74">
        <v>0.61099999999999999</v>
      </c>
      <c r="D7" s="79">
        <f>'Damage-Reduction Analysis'!E20</f>
        <v>1.4931415366306097E-3</v>
      </c>
      <c r="E7" s="71">
        <f t="shared" si="2"/>
        <v>4.9771384554353655E-3</v>
      </c>
      <c r="F7" s="71">
        <f>'Seed Treatment Costs'!$E$63*('Adoption Path Fluopyram'!D23*'Incidence Parameters'!I7)</f>
        <v>5.5598734358538885E-4</v>
      </c>
      <c r="G7" s="71">
        <f>(F7/(1+D7))</f>
        <v>5.5515841349878386E-4</v>
      </c>
      <c r="H7" s="71">
        <f>(E7-G7)</f>
        <v>4.4219800419365816E-3</v>
      </c>
      <c r="I7" s="71">
        <f t="shared" si="0"/>
        <v>4.4219800419365816E-3</v>
      </c>
      <c r="J7" s="72">
        <f>'Soybean Prices and Production'!B9*35.74</f>
        <v>312.72500000000002</v>
      </c>
      <c r="K7" s="72">
        <f>('Soybean Prices and Production'!C9/36.74)</f>
        <v>111322808.92759934</v>
      </c>
      <c r="L7" s="72">
        <f t="shared" si="3"/>
        <v>154046383.18203965</v>
      </c>
      <c r="M7" s="73">
        <f>'Research and Outreach Costs'!E63</f>
        <v>1959772.8384210526</v>
      </c>
      <c r="N7" s="72">
        <f t="shared" si="1"/>
        <v>152086610.3436186</v>
      </c>
      <c r="O7" s="72"/>
      <c r="P7" s="69"/>
      <c r="Q7" s="69"/>
    </row>
    <row r="8" spans="1:18" x14ac:dyDescent="0.2">
      <c r="A8" s="70">
        <v>2021</v>
      </c>
      <c r="B8" s="74">
        <v>0.3</v>
      </c>
      <c r="C8" s="74">
        <v>0.61099999999999999</v>
      </c>
      <c r="D8" s="79">
        <f>'Damage-Reduction Analysis'!E21</f>
        <v>2.2272425714317738E-3</v>
      </c>
      <c r="E8" s="71">
        <f>D8/B8</f>
        <v>7.4241419047725793E-3</v>
      </c>
      <c r="F8" s="71">
        <f>'Seed Treatment Costs'!$E$63*('Adoption Path Fluopyram'!D24*'Incidence Parameters'!I8)</f>
        <v>8.2923099736045467E-4</v>
      </c>
      <c r="G8" s="71">
        <f t="shared" ref="G8:G19" si="4">(F8/(1+D8))</f>
        <v>8.2738820313134006E-4</v>
      </c>
      <c r="H8" s="71">
        <f t="shared" ref="H8:H19" si="5">(E8-G8)</f>
        <v>6.5967537016412394E-3</v>
      </c>
      <c r="I8" s="71">
        <f t="shared" si="0"/>
        <v>6.5967537016412394E-3</v>
      </c>
      <c r="J8" s="72">
        <f>'Soybean Prices and Production'!B10*35.74</f>
        <v>327.02100000000002</v>
      </c>
      <c r="K8" s="72">
        <f>('Soybean Prices and Production'!C10/36.74)</f>
        <v>112547632.00870985</v>
      </c>
      <c r="L8" s="72">
        <f t="shared" si="3"/>
        <v>243036667.29068637</v>
      </c>
      <c r="M8" s="73">
        <f>'Research and Outreach Costs'!E64</f>
        <v>1783970.3084210525</v>
      </c>
      <c r="N8" s="72">
        <f t="shared" si="1"/>
        <v>241252696.98226532</v>
      </c>
      <c r="O8" s="72"/>
      <c r="P8" s="69"/>
      <c r="Q8" s="69"/>
    </row>
    <row r="9" spans="1:18" x14ac:dyDescent="0.2">
      <c r="A9" s="70">
        <v>2022</v>
      </c>
      <c r="B9" s="74">
        <v>0.3</v>
      </c>
      <c r="C9" s="74">
        <v>0.61099999999999999</v>
      </c>
      <c r="D9" s="79">
        <f>'Damage-Reduction Analysis'!E22</f>
        <v>3.1355331154719408E-3</v>
      </c>
      <c r="E9" s="71">
        <f>D9/B9</f>
        <v>1.0451777051573137E-2</v>
      </c>
      <c r="F9" s="71">
        <f>'Seed Treatment Costs'!$E$63*('Adoption Path Fluopyram'!D25*'Incidence Parameters'!I9)</f>
        <v>1.1672489017999252E-3</v>
      </c>
      <c r="G9" s="71">
        <f>(F9/(1+D9))</f>
        <v>1.1636003942306389E-3</v>
      </c>
      <c r="H9" s="71">
        <f>(E9-G9)</f>
        <v>9.2881766573424986E-3</v>
      </c>
      <c r="I9" s="71">
        <f t="shared" si="0"/>
        <v>9.2881766573424986E-3</v>
      </c>
      <c r="J9" s="72">
        <f>'Soybean Prices and Production'!B11*35.74</f>
        <v>341.31700000000006</v>
      </c>
      <c r="K9" s="72">
        <f>('Soybean Prices and Production'!C11/36.74)</f>
        <v>114452912.35710397</v>
      </c>
      <c r="L9" s="72">
        <f t="shared" si="3"/>
        <v>363345582.35507643</v>
      </c>
      <c r="M9" s="73">
        <f>'Research and Outreach Costs'!E65</f>
        <v>1783970.3084210525</v>
      </c>
      <c r="N9" s="72">
        <f t="shared" si="1"/>
        <v>361561612.04665536</v>
      </c>
      <c r="O9" s="72"/>
      <c r="P9" s="69"/>
      <c r="Q9" s="69"/>
    </row>
    <row r="10" spans="1:18" x14ac:dyDescent="0.2">
      <c r="A10" s="70">
        <v>2023</v>
      </c>
      <c r="B10" s="74">
        <v>0.3</v>
      </c>
      <c r="C10" s="74">
        <v>0.61099999999999999</v>
      </c>
      <c r="D10" s="79">
        <f>'Damage-Reduction Analysis'!E23</f>
        <v>4.1342053320019591E-3</v>
      </c>
      <c r="E10" s="71">
        <f>D10/B10</f>
        <v>1.3780684440006531E-2</v>
      </c>
      <c r="F10" s="71">
        <f>'Seed Treatment Costs'!$E$63*('Adoption Path Fluopyram'!D26*'Incidence Parameters'!I10)</f>
        <v>1.5388213064257516E-3</v>
      </c>
      <c r="G10" s="71">
        <f t="shared" si="4"/>
        <v>1.5324856958905842E-3</v>
      </c>
      <c r="H10" s="71">
        <f t="shared" si="5"/>
        <v>1.2248198744115946E-2</v>
      </c>
      <c r="I10" s="71">
        <f t="shared" si="0"/>
        <v>1.2248198744115946E-2</v>
      </c>
      <c r="J10" s="72">
        <f>'Soybean Prices and Production'!B12*35.74</f>
        <v>355.613</v>
      </c>
      <c r="K10" s="72">
        <f>('Soybean Prices and Production'!C12/36.74)</f>
        <v>116222101.25204137</v>
      </c>
      <c r="L10" s="72">
        <f t="shared" si="3"/>
        <v>507149198.49316561</v>
      </c>
      <c r="M10" s="73">
        <f>'Research and Outreach Costs'!E66</f>
        <v>1783970.3084210525</v>
      </c>
      <c r="N10" s="72">
        <f t="shared" si="1"/>
        <v>505365228.18474454</v>
      </c>
      <c r="O10" s="72"/>
      <c r="P10" s="69"/>
      <c r="Q10" s="69"/>
    </row>
    <row r="11" spans="1:18" x14ac:dyDescent="0.2">
      <c r="A11" s="70">
        <v>2024</v>
      </c>
      <c r="B11" s="74">
        <v>0.3</v>
      </c>
      <c r="C11" s="74">
        <v>0.61099999999999999</v>
      </c>
      <c r="D11" s="79">
        <f>'Damage-Reduction Analysis'!E24</f>
        <v>5.1372630144905559E-3</v>
      </c>
      <c r="E11" s="71">
        <f t="shared" si="2"/>
        <v>1.7124210048301853E-2</v>
      </c>
      <c r="F11" s="71">
        <f>'Seed Treatment Costs'!$E$63*('Adoption Path Fluopyram'!D27*'Incidence Parameters'!I11)</f>
        <v>1.8999085035346565E-3</v>
      </c>
      <c r="G11" s="71">
        <f>(F11/(1+D11))</f>
        <v>1.8901980589563184E-3</v>
      </c>
      <c r="H11" s="71">
        <f>(E11-G11)</f>
        <v>1.5234011989345535E-2</v>
      </c>
      <c r="I11" s="71">
        <f t="shared" si="0"/>
        <v>1.5234011989345535E-2</v>
      </c>
      <c r="J11" s="72">
        <f>'Soybean Prices and Production'!B13*35.74</f>
        <v>353.82600000000002</v>
      </c>
      <c r="K11" s="72">
        <f>('Soybean Prices and Production'!C13/36.74)</f>
        <v>118263473.05389221</v>
      </c>
      <c r="L11" s="72">
        <f>(I11*J11*K11*(1+0.5*I11*B11))</f>
        <v>638919200.5626421</v>
      </c>
      <c r="M11" s="73">
        <f>'Research and Outreach Costs'!E67</f>
        <v>1783970.3084210525</v>
      </c>
      <c r="N11" s="72">
        <f t="shared" si="1"/>
        <v>637135230.25422108</v>
      </c>
      <c r="O11" s="72"/>
      <c r="P11" s="69"/>
      <c r="Q11" s="69"/>
    </row>
    <row r="12" spans="1:18" x14ac:dyDescent="0.2">
      <c r="A12" s="70">
        <v>2025</v>
      </c>
      <c r="B12" s="74">
        <v>0.3</v>
      </c>
      <c r="C12" s="74">
        <v>0.61099999999999999</v>
      </c>
      <c r="D12" s="79">
        <f>'Damage-Reduction Analysis'!E25</f>
        <v>5.9487756744083364E-3</v>
      </c>
      <c r="E12" s="71">
        <f t="shared" si="2"/>
        <v>1.9829252248027788E-2</v>
      </c>
      <c r="F12" s="71">
        <f>'Seed Treatment Costs'!$E$63*('Adoption Path Fluopyram'!D28*'Incidence Parameters'!I12)</f>
        <v>2.2136647561383344E-3</v>
      </c>
      <c r="G12" s="71">
        <f t="shared" si="4"/>
        <v>2.2005740348500836E-3</v>
      </c>
      <c r="H12" s="71">
        <f>(E12-G12)</f>
        <v>1.7628678213177703E-2</v>
      </c>
      <c r="I12" s="71">
        <f t="shared" si="0"/>
        <v>1.7628678213177703E-2</v>
      </c>
      <c r="J12" s="72">
        <f>'Soybean Prices and Production'!B14*35.74</f>
        <v>321.66000000000003</v>
      </c>
      <c r="K12" s="72">
        <f>('Soybean Prices and Production'!C14/36.74)</f>
        <v>120168753.40228634</v>
      </c>
      <c r="L12" s="72">
        <f>(I12*J12*K12*(1+0.5*I12*B12))</f>
        <v>683211635.30289876</v>
      </c>
      <c r="M12" s="73">
        <f>'Research and Outreach Costs'!E68</f>
        <v>1783970.3084210525</v>
      </c>
      <c r="N12" s="72">
        <f t="shared" si="1"/>
        <v>681427664.99447775</v>
      </c>
      <c r="O12" s="72"/>
      <c r="P12" s="69"/>
      <c r="Q12" s="69"/>
    </row>
    <row r="13" spans="1:18" x14ac:dyDescent="0.2">
      <c r="A13" s="70">
        <v>2026</v>
      </c>
      <c r="B13" s="74">
        <v>0.3</v>
      </c>
      <c r="C13" s="74">
        <v>0.61099999999999999</v>
      </c>
      <c r="D13" s="79">
        <f>'Damage-Reduction Analysis'!E26</f>
        <v>6.6217133086716373E-3</v>
      </c>
      <c r="E13" s="71">
        <f t="shared" si="2"/>
        <v>2.2072377695572125E-2</v>
      </c>
      <c r="F13" s="71">
        <f>'Seed Treatment Costs'!$E$63*('Adoption Path Fluopyram'!D29*'Incidence Parameters'!I13)</f>
        <v>2.463761569328011E-3</v>
      </c>
      <c r="G13" s="71">
        <f t="shared" si="4"/>
        <v>2.4475545646932815E-3</v>
      </c>
      <c r="H13" s="71">
        <f t="shared" si="5"/>
        <v>1.9624823130878842E-2</v>
      </c>
      <c r="I13" s="71">
        <f t="shared" si="0"/>
        <v>1.9624823130878842E-2</v>
      </c>
      <c r="J13" s="72">
        <f>'Soybean Prices and Production'!B15*35.74</f>
        <v>344.89100000000002</v>
      </c>
      <c r="K13" s="72">
        <f>('Soybean Prices and Production'!C15/36.74)</f>
        <v>122210125.20413718</v>
      </c>
      <c r="L13" s="72">
        <f t="shared" si="3"/>
        <v>829605011.2326268</v>
      </c>
      <c r="M13" s="73">
        <f>'Research and Outreach Costs'!E69</f>
        <v>1783970.3084210525</v>
      </c>
      <c r="N13" s="72">
        <f t="shared" si="1"/>
        <v>827821040.92420578</v>
      </c>
      <c r="O13" s="72"/>
      <c r="P13" s="69"/>
      <c r="Q13" s="69"/>
    </row>
    <row r="14" spans="1:18" x14ac:dyDescent="0.2">
      <c r="A14" s="70">
        <v>2027</v>
      </c>
      <c r="B14" s="74">
        <v>0.3</v>
      </c>
      <c r="C14" s="74">
        <v>0.61099999999999999</v>
      </c>
      <c r="D14" s="79">
        <f>'Damage-Reduction Analysis'!E27</f>
        <v>7.1308394894115876E-3</v>
      </c>
      <c r="E14" s="71">
        <f t="shared" si="2"/>
        <v>2.3769464964705292E-2</v>
      </c>
      <c r="F14" s="71">
        <f>'Seed Treatment Costs'!$E$63*('Adoption Path Fluopyram'!D30*'Incidence Parameters'!I14)</f>
        <v>2.6528518725096686E-3</v>
      </c>
      <c r="G14" s="71">
        <f t="shared" si="4"/>
        <v>2.6340687510419138E-3</v>
      </c>
      <c r="H14" s="71">
        <f t="shared" si="5"/>
        <v>2.1135396213663379E-2</v>
      </c>
      <c r="I14" s="71">
        <f t="shared" si="0"/>
        <v>2.1135396213663379E-2</v>
      </c>
      <c r="J14" s="72">
        <f>'Soybean Prices and Production'!B16*35.74</f>
        <v>337.74299999999999</v>
      </c>
      <c r="K14" s="72">
        <f>('Soybean Prices and Production'!C16/36.74)</f>
        <v>123434948.28524768</v>
      </c>
      <c r="L14" s="72">
        <f t="shared" si="3"/>
        <v>883913078.45147502</v>
      </c>
      <c r="M14" s="73">
        <f>'Research and Outreach Costs'!E70</f>
        <v>1783970.3084210525</v>
      </c>
      <c r="N14" s="72">
        <f t="shared" si="1"/>
        <v>882129108.14305401</v>
      </c>
      <c r="O14" s="72"/>
      <c r="P14" s="69"/>
      <c r="Q14" s="69"/>
    </row>
    <row r="15" spans="1:18" x14ac:dyDescent="0.2">
      <c r="A15" s="70">
        <v>2028</v>
      </c>
      <c r="B15" s="74">
        <v>0.3</v>
      </c>
      <c r="C15" s="74">
        <v>0.61099999999999999</v>
      </c>
      <c r="D15" s="79">
        <f>'Damage-Reduction Analysis'!E28</f>
        <v>7.509134741897492E-3</v>
      </c>
      <c r="E15" s="71">
        <f t="shared" si="2"/>
        <v>2.5030449139658309E-2</v>
      </c>
      <c r="F15" s="71">
        <f>'Seed Treatment Costs'!$E$63*('Adoption Path Fluopyram'!D31*'Incidence Parameters'!I15)</f>
        <v>2.793227230832594E-3</v>
      </c>
      <c r="G15" s="71">
        <f t="shared" si="4"/>
        <v>2.7724088392986727E-3</v>
      </c>
      <c r="H15" s="71">
        <f t="shared" si="5"/>
        <v>2.2258040300359636E-2</v>
      </c>
      <c r="I15" s="71">
        <f t="shared" si="0"/>
        <v>2.2258040300359636E-2</v>
      </c>
      <c r="J15" s="72">
        <f>'Soybean Prices and Production'!B17*35.74</f>
        <v>337.74299999999999</v>
      </c>
      <c r="K15" s="72">
        <f>('Soybean Prices and Production'!C17/36.74)</f>
        <v>125476320.08709852</v>
      </c>
      <c r="L15" s="72">
        <f t="shared" si="3"/>
        <v>946417192.35025203</v>
      </c>
      <c r="M15" s="73">
        <f>'Research and Outreach Costs'!E71</f>
        <v>1783970.3084210525</v>
      </c>
      <c r="N15" s="72">
        <f t="shared" si="1"/>
        <v>944633222.04183102</v>
      </c>
      <c r="O15" s="72"/>
      <c r="P15" s="69"/>
      <c r="Q15" s="69"/>
    </row>
    <row r="16" spans="1:18" x14ac:dyDescent="0.2">
      <c r="A16" s="70">
        <v>2029</v>
      </c>
      <c r="B16" s="74">
        <v>0.3</v>
      </c>
      <c r="C16" s="74">
        <v>0.61099999999999999</v>
      </c>
      <c r="D16" s="79">
        <f>'Damage-Reduction Analysis'!E29</f>
        <v>7.8380805855087898E-3</v>
      </c>
      <c r="E16" s="71">
        <f t="shared" si="2"/>
        <v>2.6126935285029299E-2</v>
      </c>
      <c r="F16" s="71">
        <f>'Seed Treatment Costs'!$E$63*('Adoption Path Fluopyram'!D32*'Incidence Parameters'!I16)</f>
        <v>2.8987489863364865E-3</v>
      </c>
      <c r="G16" s="71">
        <f t="shared" si="4"/>
        <v>2.8762050593012355E-3</v>
      </c>
      <c r="H16" s="71">
        <f t="shared" si="5"/>
        <v>2.3250730225728065E-2</v>
      </c>
      <c r="I16" s="71">
        <f t="shared" si="0"/>
        <v>2.3250730225728065E-2</v>
      </c>
      <c r="J16" s="72">
        <f>'Soybean Prices and Production'!B18*35.74</f>
        <v>337.74299999999999</v>
      </c>
      <c r="K16" s="72">
        <f>('Soybean Prices and Production'!C18/36.74)</f>
        <v>126701143.16820903</v>
      </c>
      <c r="L16" s="72">
        <f t="shared" si="3"/>
        <v>998425125.64064658</v>
      </c>
      <c r="M16" s="73">
        <f>'Research and Outreach Costs'!E72</f>
        <v>1783970.3084210525</v>
      </c>
      <c r="N16" s="72">
        <f t="shared" si="1"/>
        <v>996641155.33222556</v>
      </c>
      <c r="O16" s="72"/>
      <c r="P16" s="69"/>
      <c r="Q16" s="69"/>
    </row>
    <row r="17" spans="1:17" x14ac:dyDescent="0.2">
      <c r="A17" s="70">
        <v>2030</v>
      </c>
      <c r="B17" s="74">
        <v>0.3</v>
      </c>
      <c r="C17" s="74">
        <v>0.61099999999999999</v>
      </c>
      <c r="D17" s="79">
        <f>'Damage-Reduction Analysis'!E30</f>
        <v>8.0158858405319396E-3</v>
      </c>
      <c r="E17" s="71">
        <f t="shared" si="2"/>
        <v>2.6719619468439801E-2</v>
      </c>
      <c r="F17" s="71">
        <f>'Seed Treatment Costs'!$E$63*('Adoption Path Fluopyram'!D33*'Incidence Parameters'!I17)</f>
        <v>2.9809585124803226E-3</v>
      </c>
      <c r="G17" s="71">
        <f t="shared" si="4"/>
        <v>2.9572535059749151E-3</v>
      </c>
      <c r="H17" s="71">
        <f t="shared" si="5"/>
        <v>2.3762365962464886E-2</v>
      </c>
      <c r="I17" s="71">
        <f t="shared" si="0"/>
        <v>2.3762365962464886E-2</v>
      </c>
      <c r="J17" s="72">
        <f>'Soybean Prices and Production'!B19*35.74</f>
        <v>337.74299999999999</v>
      </c>
      <c r="K17" s="72">
        <f>('Soybean Prices and Production'!C19/36.74)</f>
        <v>126701143.16820903</v>
      </c>
      <c r="L17" s="72">
        <f t="shared" si="3"/>
        <v>1020473655.7719579</v>
      </c>
      <c r="M17" s="73">
        <f>'Research and Outreach Costs'!E73</f>
        <v>1783970.3084210525</v>
      </c>
      <c r="N17" s="72">
        <f t="shared" si="1"/>
        <v>1018689685.4635369</v>
      </c>
      <c r="O17" s="72"/>
      <c r="P17" s="72"/>
      <c r="Q17" s="69"/>
    </row>
    <row r="18" spans="1:17" x14ac:dyDescent="0.2">
      <c r="A18" s="70">
        <v>2031</v>
      </c>
      <c r="B18" s="74">
        <v>0.3</v>
      </c>
      <c r="C18" s="74">
        <v>0.61099999999999999</v>
      </c>
      <c r="D18" s="79">
        <f>'Damage-Reduction Analysis'!E31</f>
        <v>8.1977680376554927E-3</v>
      </c>
      <c r="E18" s="71">
        <f t="shared" si="2"/>
        <v>2.7325893458851645E-2</v>
      </c>
      <c r="F18" s="71">
        <f>'Seed Treatment Costs'!$E$63*('Adoption Path Fluopyram'!D34*'Incidence Parameters'!I18)</f>
        <v>3.0482040939751173E-3</v>
      </c>
      <c r="G18" s="71">
        <f t="shared" si="4"/>
        <v>3.023418807907209E-3</v>
      </c>
      <c r="H18" s="71">
        <f t="shared" si="5"/>
        <v>2.4302474650944435E-2</v>
      </c>
      <c r="I18" s="71">
        <f t="shared" si="0"/>
        <v>2.4302474650944435E-2</v>
      </c>
      <c r="J18" s="72">
        <f>'Soybean Prices and Production'!B20*35.74</f>
        <v>337.74299999999999</v>
      </c>
      <c r="K18" s="72">
        <f>('Soybean Prices and Production'!C20/36.74)</f>
        <v>126701143.16820903</v>
      </c>
      <c r="L18" s="72">
        <f t="shared" si="3"/>
        <v>1043752851.1095704</v>
      </c>
      <c r="M18" s="73">
        <f>'Research and Outreach Costs'!E74</f>
        <v>1783970.3084210525</v>
      </c>
      <c r="N18" s="72">
        <f t="shared" si="1"/>
        <v>1041968880.8011494</v>
      </c>
      <c r="O18" s="72"/>
      <c r="P18" s="72"/>
      <c r="Q18" s="69"/>
    </row>
    <row r="19" spans="1:17" x14ac:dyDescent="0.2">
      <c r="A19" s="70">
        <v>2032</v>
      </c>
      <c r="B19" s="74">
        <v>0.3</v>
      </c>
      <c r="C19" s="74">
        <v>0.61099999999999999</v>
      </c>
      <c r="D19" s="79">
        <f>'Damage-Reduction Analysis'!E32</f>
        <v>8.3544993459841455E-3</v>
      </c>
      <c r="E19" s="71">
        <f t="shared" si="2"/>
        <v>2.7848331153280486E-2</v>
      </c>
      <c r="F19" s="71">
        <f>'Seed Treatment Costs'!$E$63*('Adoption Path Fluopyram'!D35*'Incidence Parameters'!I19)</f>
        <v>3.1060815007795586E-3</v>
      </c>
      <c r="G19" s="71">
        <f t="shared" si="4"/>
        <v>3.080346745905487E-3</v>
      </c>
      <c r="H19" s="71">
        <f t="shared" si="5"/>
        <v>2.4767984407374998E-2</v>
      </c>
      <c r="I19" s="71">
        <f t="shared" si="0"/>
        <v>2.4767984407374998E-2</v>
      </c>
      <c r="J19" s="72">
        <f>'Soybean Prices and Production'!B21*35.74</f>
        <v>337.74299999999999</v>
      </c>
      <c r="K19" s="72">
        <f>('Soybean Prices and Production'!C21/36.74)</f>
        <v>126701143.16820903</v>
      </c>
      <c r="L19" s="72">
        <f t="shared" si="3"/>
        <v>1063819766.7479517</v>
      </c>
      <c r="M19" s="73">
        <f>'Research and Outreach Costs'!E75</f>
        <v>1783970.3084210525</v>
      </c>
      <c r="N19" s="72">
        <f t="shared" si="1"/>
        <v>1062035796.4395307</v>
      </c>
      <c r="O19" s="72"/>
      <c r="P19" s="72"/>
      <c r="Q19" s="69"/>
    </row>
    <row r="21" spans="1:17" x14ac:dyDescent="0.2">
      <c r="G21" s="71"/>
    </row>
    <row r="22" spans="1:17" x14ac:dyDescent="0.2">
      <c r="K22" t="s">
        <v>336</v>
      </c>
    </row>
    <row r="23" spans="1:17" x14ac:dyDescent="0.2">
      <c r="J23" s="95" t="s">
        <v>334</v>
      </c>
      <c r="K23">
        <f>('Economic Surplus Analysis Worse'!O5-'Economic Surplus Analysis'!O5)/'Economic Surplus Analysis'!O5</f>
        <v>-0.77497506300731489</v>
      </c>
      <c r="L23">
        <f>K23*100</f>
        <v>-77.497506300731487</v>
      </c>
    </row>
    <row r="24" spans="1:17" x14ac:dyDescent="0.2">
      <c r="J24" s="95" t="s">
        <v>335</v>
      </c>
      <c r="K24">
        <f>('Economic Surplus Analysis Best'!O5-'Economic Surplus Analysis'!O5)/'Economic Surplus Analysis'!O5</f>
        <v>0.93888398786371152</v>
      </c>
      <c r="L24">
        <f>K24*100</f>
        <v>93.888398786371155</v>
      </c>
    </row>
    <row r="27" spans="1:17" x14ac:dyDescent="0.2">
      <c r="J27" t="s">
        <v>340</v>
      </c>
      <c r="K27" t="s">
        <v>354</v>
      </c>
      <c r="L27" t="s">
        <v>353</v>
      </c>
    </row>
    <row r="28" spans="1:17" x14ac:dyDescent="0.2">
      <c r="J28" t="s">
        <v>250</v>
      </c>
      <c r="K28" s="3">
        <f>SUM(L5:L19)/SUM(J5*K5,J6*K6,J7*K7,J8*K8,J9*K9,J10*K10,J11*K11,J12*K12,J13*K13,J14*K14,J15*K15,J16*K16,J17*K17,J18*K18,J19*K19)</f>
        <v>1.5690895687990515E-2</v>
      </c>
      <c r="L28" s="3">
        <f>SUM(L5:L19)/NPV(0.05,'Soybean Prices and Production'!D7:D21)</f>
        <v>2.2261671451034356E-2</v>
      </c>
    </row>
    <row r="29" spans="1:17" x14ac:dyDescent="0.2">
      <c r="J29" t="s">
        <v>253</v>
      </c>
      <c r="K29" s="3">
        <f>SUM(O5)/NPV(0.05,SUM(J5*K5,J6*K6,J7*K7,J8*K8,J9*K9,J10*K10,J11*K11,J12*K12,J13*K13,J14*K14,J15*K15,J16*K16,J17*K17,J18*K18,J19*K19))</f>
        <v>1.0048414240157443E-2</v>
      </c>
      <c r="L29" s="3">
        <f>(O5/NPV(0.05,'Soybean Prices and Production'!D7:D21))</f>
        <v>1.3577451649511459E-2</v>
      </c>
    </row>
  </sheetData>
  <mergeCells count="2">
    <mergeCell ref="A2:R2"/>
    <mergeCell ref="F3:G3"/>
  </mergeCells>
  <pageMargins left="0.7" right="0.7" top="0.75" bottom="0.75" header="0.3" footer="0.3"/>
  <pageSetup scale="50" orientation="landscape" horizontalDpi="4294967295" verticalDpi="4294967295"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S48"/>
  <sheetViews>
    <sheetView topLeftCell="A5" workbookViewId="0">
      <selection activeCell="L5" sqref="L5:O5"/>
    </sheetView>
  </sheetViews>
  <sheetFormatPr baseColWidth="10" defaultColWidth="11" defaultRowHeight="16" x14ac:dyDescent="0.2"/>
  <cols>
    <col min="7" max="7" width="14.1640625" customWidth="1"/>
  </cols>
  <sheetData>
    <row r="1" spans="1:19" x14ac:dyDescent="0.2">
      <c r="A1" t="s">
        <v>270</v>
      </c>
    </row>
    <row r="4" spans="1:19" x14ac:dyDescent="0.2">
      <c r="F4" s="99" t="s">
        <v>271</v>
      </c>
      <c r="G4" s="99"/>
      <c r="H4" s="99"/>
      <c r="J4" t="s">
        <v>272</v>
      </c>
      <c r="L4" s="99" t="s">
        <v>330</v>
      </c>
      <c r="M4" s="99"/>
      <c r="N4" s="99"/>
      <c r="O4" s="99"/>
      <c r="P4" s="99"/>
      <c r="Q4" s="99"/>
    </row>
    <row r="5" spans="1:19" ht="136" x14ac:dyDescent="0.2">
      <c r="A5" t="s">
        <v>38</v>
      </c>
      <c r="B5" s="11" t="s">
        <v>52</v>
      </c>
      <c r="C5" s="11" t="s">
        <v>53</v>
      </c>
      <c r="D5" s="11" t="s">
        <v>54</v>
      </c>
      <c r="F5" s="11" t="s">
        <v>299</v>
      </c>
      <c r="H5" s="11" t="s">
        <v>328</v>
      </c>
      <c r="J5" s="11" t="s">
        <v>337</v>
      </c>
      <c r="L5" t="s">
        <v>38</v>
      </c>
      <c r="M5" s="11" t="s">
        <v>320</v>
      </c>
      <c r="N5" t="s">
        <v>324</v>
      </c>
      <c r="O5" s="11" t="s">
        <v>325</v>
      </c>
      <c r="P5" s="11" t="s">
        <v>329</v>
      </c>
      <c r="Q5" s="11" t="s">
        <v>299</v>
      </c>
    </row>
    <row r="6" spans="1:19" x14ac:dyDescent="0.2">
      <c r="B6" t="s">
        <v>55</v>
      </c>
      <c r="C6" t="s">
        <v>56</v>
      </c>
      <c r="L6" s="91">
        <v>1989</v>
      </c>
      <c r="M6">
        <v>2.08</v>
      </c>
      <c r="N6">
        <v>5.53</v>
      </c>
      <c r="O6">
        <f t="shared" ref="O6:O35" si="0">M6*N6</f>
        <v>11.502400000000002</v>
      </c>
      <c r="P6">
        <f>STEYX(O6:O35,L6:L35)</f>
        <v>2.4270546686874184</v>
      </c>
      <c r="Q6">
        <f>((P6/AVERAGE(O6:O35)))</f>
        <v>0.23230071772197455</v>
      </c>
      <c r="R6" s="96" t="s">
        <v>332</v>
      </c>
    </row>
    <row r="7" spans="1:19" x14ac:dyDescent="0.2">
      <c r="A7">
        <v>2018</v>
      </c>
      <c r="B7">
        <v>9.33</v>
      </c>
      <c r="C7">
        <v>4411</v>
      </c>
      <c r="D7">
        <f t="shared" ref="D7:D21" si="1">B7*C7</f>
        <v>41154.629999999997</v>
      </c>
      <c r="H7" s="65">
        <f>B7</f>
        <v>9.33</v>
      </c>
      <c r="J7" s="84">
        <f>B7</f>
        <v>9.33</v>
      </c>
      <c r="L7" s="91">
        <v>1990</v>
      </c>
      <c r="M7">
        <v>1.98</v>
      </c>
      <c r="N7">
        <v>5.85</v>
      </c>
      <c r="O7">
        <f t="shared" si="0"/>
        <v>11.582999999999998</v>
      </c>
    </row>
    <row r="8" spans="1:19" x14ac:dyDescent="0.2">
      <c r="A8">
        <v>2019</v>
      </c>
      <c r="B8">
        <v>8.6</v>
      </c>
      <c r="C8">
        <v>4690</v>
      </c>
      <c r="D8">
        <f t="shared" si="1"/>
        <v>40334</v>
      </c>
      <c r="F8" s="57">
        <f>Q15</f>
        <v>0.23230071772197455</v>
      </c>
      <c r="G8" t="s">
        <v>333</v>
      </c>
      <c r="H8" s="82">
        <f>B8-(B8*$F$8)</f>
        <v>6.6022138275910187</v>
      </c>
      <c r="I8" s="57"/>
      <c r="J8" s="44">
        <f>B8+(B8*$F$8)</f>
        <v>10.597786172408981</v>
      </c>
      <c r="K8" s="84"/>
      <c r="L8" s="94">
        <v>1991</v>
      </c>
      <c r="M8">
        <v>1.87</v>
      </c>
      <c r="N8" s="84">
        <v>5.49</v>
      </c>
      <c r="O8">
        <f t="shared" si="0"/>
        <v>10.266300000000001</v>
      </c>
      <c r="P8" s="84"/>
      <c r="Q8" s="84"/>
      <c r="R8" s="84"/>
      <c r="S8" s="84"/>
    </row>
    <row r="9" spans="1:19" x14ac:dyDescent="0.2">
      <c r="A9">
        <v>2020</v>
      </c>
      <c r="B9">
        <v>8.75</v>
      </c>
      <c r="C9">
        <v>4690</v>
      </c>
      <c r="D9">
        <f t="shared" si="1"/>
        <v>41037.5</v>
      </c>
      <c r="H9" s="82">
        <f>B9-(B9*$F$8)</f>
        <v>6.7173687199327228</v>
      </c>
      <c r="I9" s="57"/>
      <c r="J9" s="44">
        <f t="shared" ref="J9:J21" si="2">B9+(B9*$F$8)</f>
        <v>10.782631280067278</v>
      </c>
      <c r="L9" s="91">
        <v>1992</v>
      </c>
      <c r="M9">
        <v>1.82</v>
      </c>
      <c r="N9">
        <v>5.25</v>
      </c>
      <c r="O9">
        <f t="shared" si="0"/>
        <v>9.5549999999999997</v>
      </c>
    </row>
    <row r="10" spans="1:19" x14ac:dyDescent="0.2">
      <c r="A10">
        <v>2021</v>
      </c>
      <c r="B10">
        <v>9.15</v>
      </c>
      <c r="C10">
        <v>4135</v>
      </c>
      <c r="D10">
        <f t="shared" si="1"/>
        <v>37835.25</v>
      </c>
      <c r="H10" s="82">
        <f t="shared" ref="H10:H21" si="3">B10-(B10*$F$8)</f>
        <v>7.0244484328439327</v>
      </c>
      <c r="I10" s="57"/>
      <c r="J10" s="44">
        <f t="shared" si="2"/>
        <v>11.275551567156068</v>
      </c>
      <c r="L10" s="91">
        <v>1993</v>
      </c>
      <c r="M10">
        <v>1.77</v>
      </c>
      <c r="N10">
        <v>6.12</v>
      </c>
      <c r="O10">
        <f t="shared" si="0"/>
        <v>10.8324</v>
      </c>
    </row>
    <row r="11" spans="1:19" x14ac:dyDescent="0.2">
      <c r="A11">
        <v>2022</v>
      </c>
      <c r="B11">
        <v>9.5500000000000007</v>
      </c>
      <c r="C11">
        <v>4205</v>
      </c>
      <c r="D11">
        <f t="shared" si="1"/>
        <v>40157.75</v>
      </c>
      <c r="H11" s="82">
        <f t="shared" si="3"/>
        <v>7.3315281457551436</v>
      </c>
      <c r="I11" s="57"/>
      <c r="J11" s="44">
        <f t="shared" si="2"/>
        <v>11.768471854244858</v>
      </c>
      <c r="L11" s="94">
        <v>1994</v>
      </c>
      <c r="M11">
        <v>1.72</v>
      </c>
      <c r="N11" s="84">
        <v>5.32</v>
      </c>
      <c r="O11">
        <f t="shared" si="0"/>
        <v>9.1504000000000012</v>
      </c>
    </row>
    <row r="12" spans="1:19" x14ac:dyDescent="0.2">
      <c r="A12">
        <v>2023</v>
      </c>
      <c r="B12">
        <v>9.9499999999999993</v>
      </c>
      <c r="C12">
        <v>4270</v>
      </c>
      <c r="D12">
        <f t="shared" si="1"/>
        <v>42486.5</v>
      </c>
      <c r="H12" s="82">
        <f t="shared" si="3"/>
        <v>7.6386078586663526</v>
      </c>
      <c r="I12" s="57"/>
      <c r="J12" s="44">
        <f t="shared" si="2"/>
        <v>12.261392141333646</v>
      </c>
      <c r="L12" s="91">
        <v>1995</v>
      </c>
      <c r="M12">
        <v>1.68</v>
      </c>
      <c r="N12">
        <v>6.26</v>
      </c>
      <c r="O12">
        <f t="shared" si="0"/>
        <v>10.5168</v>
      </c>
    </row>
    <row r="13" spans="1:19" x14ac:dyDescent="0.2">
      <c r="A13">
        <v>2024</v>
      </c>
      <c r="B13">
        <v>9.9</v>
      </c>
      <c r="C13">
        <v>4345</v>
      </c>
      <c r="D13">
        <f t="shared" si="1"/>
        <v>43015.5</v>
      </c>
      <c r="H13" s="82">
        <f t="shared" si="3"/>
        <v>7.6002228945524521</v>
      </c>
      <c r="I13" s="57"/>
      <c r="J13" s="44">
        <f t="shared" si="2"/>
        <v>12.199777105447549</v>
      </c>
      <c r="L13" s="91">
        <v>1996</v>
      </c>
      <c r="M13">
        <v>1.63</v>
      </c>
      <c r="N13">
        <v>6.91</v>
      </c>
      <c r="O13">
        <f t="shared" si="0"/>
        <v>11.263299999999999</v>
      </c>
    </row>
    <row r="14" spans="1:19" x14ac:dyDescent="0.2">
      <c r="A14">
        <v>2025</v>
      </c>
      <c r="B14" s="44">
        <v>9</v>
      </c>
      <c r="C14" s="45">
        <v>4415</v>
      </c>
      <c r="D14">
        <f t="shared" si="1"/>
        <v>39735</v>
      </c>
      <c r="H14" s="82">
        <f t="shared" si="3"/>
        <v>6.9092935405022295</v>
      </c>
      <c r="I14" s="57"/>
      <c r="J14" s="44">
        <f t="shared" si="2"/>
        <v>11.09070645949777</v>
      </c>
      <c r="L14" s="94">
        <v>1997</v>
      </c>
      <c r="M14">
        <v>1.58</v>
      </c>
      <c r="N14">
        <v>7.27</v>
      </c>
      <c r="O14">
        <f t="shared" si="0"/>
        <v>11.486599999999999</v>
      </c>
    </row>
    <row r="15" spans="1:19" x14ac:dyDescent="0.2">
      <c r="A15">
        <v>2026</v>
      </c>
      <c r="B15" s="44">
        <v>9.65</v>
      </c>
      <c r="C15" s="45">
        <v>4490</v>
      </c>
      <c r="D15">
        <f t="shared" si="1"/>
        <v>43328.5</v>
      </c>
      <c r="H15" s="82">
        <f t="shared" si="3"/>
        <v>7.4082980739829463</v>
      </c>
      <c r="I15" s="57"/>
      <c r="J15" s="44">
        <f t="shared" si="2"/>
        <v>11.891701926017054</v>
      </c>
      <c r="L15" s="91">
        <v>1998</v>
      </c>
      <c r="M15">
        <v>1.56</v>
      </c>
      <c r="N15">
        <v>7.4</v>
      </c>
      <c r="O15">
        <f t="shared" si="0"/>
        <v>11.544</v>
      </c>
      <c r="P15" s="57">
        <f>STEYX(O6:O35,L6:L35)</f>
        <v>2.4270546686874184</v>
      </c>
      <c r="Q15" s="57">
        <f>((P15/AVERAGE(O6:O35)))</f>
        <v>0.23230071772197455</v>
      </c>
      <c r="R15" s="96" t="s">
        <v>332</v>
      </c>
    </row>
    <row r="16" spans="1:19" x14ac:dyDescent="0.2">
      <c r="A16">
        <v>2027</v>
      </c>
      <c r="B16" s="44">
        <v>9.4499999999999993</v>
      </c>
      <c r="C16" s="45">
        <v>4535</v>
      </c>
      <c r="D16">
        <f t="shared" si="1"/>
        <v>42855.75</v>
      </c>
      <c r="H16" s="82">
        <f>B16-(B16*$F$8)</f>
        <v>7.25475821752734</v>
      </c>
      <c r="I16" s="57"/>
      <c r="J16" s="44">
        <f t="shared" si="2"/>
        <v>11.64524178247266</v>
      </c>
      <c r="L16" s="91">
        <v>1999</v>
      </c>
      <c r="M16">
        <v>1.53</v>
      </c>
      <c r="N16">
        <v>5.93</v>
      </c>
      <c r="O16">
        <f t="shared" si="0"/>
        <v>9.0728999999999989</v>
      </c>
    </row>
    <row r="17" spans="1:18" x14ac:dyDescent="0.2">
      <c r="A17">
        <v>2028</v>
      </c>
      <c r="B17" s="44">
        <v>9.4499999999999993</v>
      </c>
      <c r="C17" s="45">
        <v>4610</v>
      </c>
      <c r="D17">
        <f t="shared" si="1"/>
        <v>43564.5</v>
      </c>
      <c r="H17" s="82">
        <f t="shared" si="3"/>
        <v>7.25475821752734</v>
      </c>
      <c r="I17" s="57"/>
      <c r="J17" s="44">
        <f t="shared" si="2"/>
        <v>11.64524178247266</v>
      </c>
      <c r="L17" s="94">
        <v>2000</v>
      </c>
      <c r="M17">
        <v>1.49</v>
      </c>
      <c r="N17">
        <v>4.57</v>
      </c>
      <c r="O17">
        <f t="shared" si="0"/>
        <v>6.8093000000000004</v>
      </c>
    </row>
    <row r="18" spans="1:18" x14ac:dyDescent="0.2">
      <c r="A18">
        <v>2029</v>
      </c>
      <c r="B18" s="44">
        <v>9.4499999999999993</v>
      </c>
      <c r="C18" s="45">
        <v>4655</v>
      </c>
      <c r="D18">
        <f t="shared" si="1"/>
        <v>43989.75</v>
      </c>
      <c r="H18" s="82">
        <f t="shared" si="3"/>
        <v>7.25475821752734</v>
      </c>
      <c r="I18" s="57"/>
      <c r="J18" s="44">
        <f t="shared" si="2"/>
        <v>11.64524178247266</v>
      </c>
      <c r="L18" s="91">
        <v>2001</v>
      </c>
      <c r="M18">
        <v>1.44</v>
      </c>
      <c r="N18">
        <v>4.7300000000000004</v>
      </c>
      <c r="O18">
        <f t="shared" si="0"/>
        <v>6.8112000000000004</v>
      </c>
    </row>
    <row r="19" spans="1:18" x14ac:dyDescent="0.2">
      <c r="A19">
        <v>2030</v>
      </c>
      <c r="B19" s="44">
        <v>9.4499999999999993</v>
      </c>
      <c r="C19" s="45">
        <v>4655</v>
      </c>
      <c r="D19">
        <f t="shared" si="1"/>
        <v>43989.75</v>
      </c>
      <c r="H19" s="82">
        <f t="shared" si="3"/>
        <v>7.25475821752734</v>
      </c>
      <c r="I19" s="57"/>
      <c r="J19" s="44">
        <f t="shared" si="2"/>
        <v>11.64524178247266</v>
      </c>
      <c r="L19" s="91">
        <v>2002</v>
      </c>
      <c r="M19">
        <v>1.42</v>
      </c>
      <c r="N19">
        <v>4.43</v>
      </c>
      <c r="O19">
        <f t="shared" si="0"/>
        <v>6.2905999999999995</v>
      </c>
    </row>
    <row r="20" spans="1:18" x14ac:dyDescent="0.2">
      <c r="A20">
        <v>2031</v>
      </c>
      <c r="B20" s="44">
        <v>9.4499999999999993</v>
      </c>
      <c r="C20" s="45">
        <v>4655</v>
      </c>
      <c r="D20">
        <f t="shared" si="1"/>
        <v>43989.75</v>
      </c>
      <c r="H20" s="82">
        <f t="shared" si="3"/>
        <v>7.25475821752734</v>
      </c>
      <c r="I20" s="57"/>
      <c r="J20" s="44">
        <f t="shared" si="2"/>
        <v>11.64524178247266</v>
      </c>
      <c r="L20" s="94">
        <v>2003</v>
      </c>
      <c r="M20">
        <v>1.39</v>
      </c>
      <c r="N20">
        <v>4.93</v>
      </c>
      <c r="O20">
        <f t="shared" si="0"/>
        <v>6.8526999999999987</v>
      </c>
    </row>
    <row r="21" spans="1:18" x14ac:dyDescent="0.2">
      <c r="A21">
        <v>2032</v>
      </c>
      <c r="B21" s="44">
        <v>9.4499999999999993</v>
      </c>
      <c r="C21" s="45">
        <v>4655</v>
      </c>
      <c r="D21">
        <f t="shared" si="1"/>
        <v>43989.75</v>
      </c>
      <c r="H21" s="82">
        <f t="shared" si="3"/>
        <v>7.25475821752734</v>
      </c>
      <c r="I21" s="57"/>
      <c r="J21" s="44">
        <f t="shared" si="2"/>
        <v>11.64524178247266</v>
      </c>
      <c r="L21" s="91">
        <v>2004</v>
      </c>
      <c r="M21">
        <v>1.36</v>
      </c>
      <c r="N21">
        <v>7.56</v>
      </c>
      <c r="O21">
        <f t="shared" si="0"/>
        <v>10.281600000000001</v>
      </c>
    </row>
    <row r="22" spans="1:18" x14ac:dyDescent="0.2">
      <c r="L22" s="91">
        <v>2005</v>
      </c>
      <c r="M22">
        <v>1.32</v>
      </c>
      <c r="N22">
        <v>5.95</v>
      </c>
      <c r="O22">
        <f t="shared" si="0"/>
        <v>7.854000000000001</v>
      </c>
      <c r="R22" s="62"/>
    </row>
    <row r="23" spans="1:18" x14ac:dyDescent="0.2">
      <c r="L23" s="94">
        <v>2006</v>
      </c>
      <c r="M23">
        <v>1.27</v>
      </c>
      <c r="N23">
        <v>5.65</v>
      </c>
      <c r="O23">
        <f t="shared" si="0"/>
        <v>7.1755000000000004</v>
      </c>
    </row>
    <row r="24" spans="1:18" x14ac:dyDescent="0.2">
      <c r="A24" t="s">
        <v>57</v>
      </c>
      <c r="B24" t="s">
        <v>58</v>
      </c>
      <c r="H24" s="65">
        <f>AVERAGE(H7:H21)</f>
        <v>7.3393687199327227</v>
      </c>
      <c r="J24" s="65">
        <f>AVERAGE(J7:J21)</f>
        <v>11.404631280067274</v>
      </c>
      <c r="L24" s="91">
        <v>2007</v>
      </c>
      <c r="M24">
        <v>1.24</v>
      </c>
      <c r="N24">
        <v>7.74</v>
      </c>
      <c r="O24">
        <f t="shared" si="0"/>
        <v>9.5975999999999999</v>
      </c>
    </row>
    <row r="25" spans="1:18" x14ac:dyDescent="0.2">
      <c r="B25" t="s">
        <v>283</v>
      </c>
      <c r="L25" s="91">
        <v>2008</v>
      </c>
      <c r="M25">
        <v>1.19</v>
      </c>
      <c r="N25">
        <v>11.3</v>
      </c>
      <c r="O25">
        <f t="shared" si="0"/>
        <v>13.447000000000001</v>
      </c>
    </row>
    <row r="26" spans="1:18" x14ac:dyDescent="0.2">
      <c r="J26" s="87"/>
      <c r="L26" s="94">
        <v>2009</v>
      </c>
      <c r="M26">
        <v>1.19</v>
      </c>
      <c r="N26">
        <v>10.1</v>
      </c>
      <c r="O26">
        <f t="shared" si="0"/>
        <v>12.018999999999998</v>
      </c>
    </row>
    <row r="27" spans="1:18" x14ac:dyDescent="0.2">
      <c r="L27" s="91">
        <v>2010</v>
      </c>
      <c r="M27">
        <v>1.1599999999999999</v>
      </c>
      <c r="N27">
        <v>9.9700000000000006</v>
      </c>
      <c r="O27">
        <f t="shared" si="0"/>
        <v>11.565200000000001</v>
      </c>
    </row>
    <row r="28" spans="1:18" x14ac:dyDescent="0.2">
      <c r="L28" s="91">
        <v>2011</v>
      </c>
      <c r="M28">
        <v>1.1399999999999999</v>
      </c>
      <c r="N28">
        <v>12.5</v>
      </c>
      <c r="O28">
        <f t="shared" si="0"/>
        <v>14.249999999999998</v>
      </c>
    </row>
    <row r="29" spans="1:18" x14ac:dyDescent="0.2">
      <c r="L29" s="94">
        <v>2012</v>
      </c>
      <c r="M29">
        <v>1.1100000000000001</v>
      </c>
      <c r="N29">
        <v>14</v>
      </c>
      <c r="O29">
        <f t="shared" si="0"/>
        <v>15.540000000000001</v>
      </c>
    </row>
    <row r="30" spans="1:18" x14ac:dyDescent="0.2">
      <c r="L30" s="91">
        <v>2013</v>
      </c>
      <c r="M30">
        <v>1.0900000000000001</v>
      </c>
      <c r="N30">
        <v>14.1</v>
      </c>
      <c r="O30">
        <f t="shared" si="0"/>
        <v>15.369000000000002</v>
      </c>
    </row>
    <row r="31" spans="1:18" x14ac:dyDescent="0.2">
      <c r="L31" s="91">
        <v>2014</v>
      </c>
      <c r="M31">
        <v>1.08</v>
      </c>
      <c r="N31">
        <v>12.5</v>
      </c>
      <c r="O31">
        <f t="shared" si="0"/>
        <v>13.5</v>
      </c>
    </row>
    <row r="32" spans="1:18" x14ac:dyDescent="0.2">
      <c r="L32" s="94">
        <v>2015</v>
      </c>
      <c r="M32">
        <v>1.08</v>
      </c>
      <c r="N32">
        <v>9.49</v>
      </c>
      <c r="O32">
        <f t="shared" si="0"/>
        <v>10.2492</v>
      </c>
    </row>
    <row r="33" spans="11:15" x14ac:dyDescent="0.2">
      <c r="L33" s="91">
        <v>2016</v>
      </c>
      <c r="M33">
        <v>1.06</v>
      </c>
      <c r="N33">
        <v>9.39</v>
      </c>
      <c r="O33">
        <f t="shared" si="0"/>
        <v>9.9534000000000002</v>
      </c>
    </row>
    <row r="34" spans="11:15" x14ac:dyDescent="0.2">
      <c r="L34" s="91">
        <v>2017</v>
      </c>
      <c r="M34">
        <v>1.04</v>
      </c>
      <c r="N34">
        <v>9.39</v>
      </c>
      <c r="O34">
        <f t="shared" si="0"/>
        <v>9.7656000000000009</v>
      </c>
    </row>
    <row r="35" spans="11:15" x14ac:dyDescent="0.2">
      <c r="L35" s="94">
        <v>2018</v>
      </c>
      <c r="M35">
        <v>1.02</v>
      </c>
      <c r="N35">
        <v>9.15</v>
      </c>
      <c r="O35">
        <f t="shared" si="0"/>
        <v>9.3330000000000002</v>
      </c>
    </row>
    <row r="37" spans="11:15" x14ac:dyDescent="0.2">
      <c r="N37">
        <f>AVERAGE(N6:N35)</f>
        <v>7.8259999999999996</v>
      </c>
      <c r="O37" s="95">
        <f>AVERAGE(O6:O35)</f>
        <v>10.447900000000002</v>
      </c>
    </row>
    <row r="40" spans="11:15" x14ac:dyDescent="0.2">
      <c r="K40" t="s">
        <v>331</v>
      </c>
      <c r="L40" t="s">
        <v>323</v>
      </c>
    </row>
    <row r="46" spans="11:15" x14ac:dyDescent="0.2">
      <c r="K46" t="s">
        <v>331</v>
      </c>
    </row>
    <row r="47" spans="11:15" x14ac:dyDescent="0.2">
      <c r="K47" t="s">
        <v>321</v>
      </c>
    </row>
    <row r="48" spans="11:15" x14ac:dyDescent="0.2">
      <c r="K48" t="s">
        <v>322</v>
      </c>
    </row>
  </sheetData>
  <mergeCells count="2">
    <mergeCell ref="F4:H4"/>
    <mergeCell ref="L4:Q4"/>
  </mergeCells>
  <pageMargins left="0.7" right="0.7" top="0.75" bottom="0.75" header="0.3" footer="0.3"/>
  <pageSetup orientation="portrait" horizontalDpi="0" verticalDpi="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V76"/>
  <sheetViews>
    <sheetView topLeftCell="A16" zoomScale="84" workbookViewId="0">
      <selection activeCell="P14" sqref="P14"/>
    </sheetView>
  </sheetViews>
  <sheetFormatPr baseColWidth="10" defaultColWidth="11" defaultRowHeight="16" x14ac:dyDescent="0.2"/>
  <cols>
    <col min="2" max="2" width="21.1640625" customWidth="1"/>
    <col min="3" max="3" width="15.1640625" style="11" customWidth="1"/>
    <col min="5" max="5" width="20.6640625" bestFit="1" customWidth="1"/>
    <col min="6" max="6" width="38.33203125" bestFit="1" customWidth="1"/>
    <col min="7" max="7" width="15.1640625" bestFit="1" customWidth="1"/>
    <col min="11" max="11" width="14.5" customWidth="1"/>
    <col min="12" max="12" width="2.6640625" customWidth="1"/>
    <col min="14" max="14" width="21.1640625" customWidth="1"/>
    <col min="16" max="16" width="26.1640625" customWidth="1"/>
    <col min="17" max="17" width="15.33203125" customWidth="1"/>
    <col min="18" max="18" width="20.5" customWidth="1"/>
  </cols>
  <sheetData>
    <row r="1" spans="1:21" x14ac:dyDescent="0.2">
      <c r="A1" t="s">
        <v>285</v>
      </c>
    </row>
    <row r="3" spans="1:21" x14ac:dyDescent="0.2">
      <c r="A3" t="s">
        <v>273</v>
      </c>
      <c r="M3" t="s">
        <v>306</v>
      </c>
      <c r="O3" s="11"/>
    </row>
    <row r="4" spans="1:21" x14ac:dyDescent="0.2">
      <c r="A4" s="104" t="s">
        <v>304</v>
      </c>
      <c r="B4" s="104"/>
      <c r="C4" s="104"/>
      <c r="D4" s="104"/>
      <c r="E4" s="104"/>
      <c r="F4" s="104"/>
      <c r="G4" s="104"/>
      <c r="H4" s="104"/>
      <c r="I4" s="104"/>
      <c r="M4" s="104" t="s">
        <v>304</v>
      </c>
      <c r="N4" s="104"/>
      <c r="O4" s="104"/>
      <c r="P4" s="104"/>
      <c r="Q4" s="104"/>
      <c r="R4" s="104"/>
      <c r="S4" s="104"/>
      <c r="T4" s="104"/>
      <c r="U4" s="104"/>
    </row>
    <row r="5" spans="1:21" x14ac:dyDescent="0.2">
      <c r="A5" s="104"/>
      <c r="B5" s="104"/>
      <c r="C5" s="104"/>
      <c r="D5" s="104"/>
      <c r="E5" s="104"/>
      <c r="F5" s="104"/>
      <c r="G5" s="104"/>
      <c r="H5" s="104"/>
      <c r="I5" s="104"/>
      <c r="M5" s="104"/>
      <c r="N5" s="104"/>
      <c r="O5" s="104"/>
      <c r="P5" s="104"/>
      <c r="Q5" s="104"/>
      <c r="R5" s="104"/>
      <c r="S5" s="104"/>
      <c r="T5" s="104"/>
      <c r="U5" s="104"/>
    </row>
    <row r="6" spans="1:21" x14ac:dyDescent="0.2">
      <c r="A6" t="s">
        <v>215</v>
      </c>
      <c r="D6" t="s">
        <v>305</v>
      </c>
      <c r="M6" t="s">
        <v>215</v>
      </c>
      <c r="O6" s="11"/>
      <c r="P6" t="s">
        <v>305</v>
      </c>
    </row>
    <row r="7" spans="1:21" x14ac:dyDescent="0.2">
      <c r="A7" t="s">
        <v>208</v>
      </c>
      <c r="B7" s="47">
        <v>2018</v>
      </c>
      <c r="D7" t="s">
        <v>38</v>
      </c>
      <c r="E7" t="s">
        <v>301</v>
      </c>
      <c r="F7" t="s">
        <v>302</v>
      </c>
      <c r="G7" t="s">
        <v>303</v>
      </c>
      <c r="M7" t="s">
        <v>208</v>
      </c>
      <c r="N7" s="47">
        <v>2018</v>
      </c>
      <c r="O7" s="11"/>
      <c r="P7" t="s">
        <v>38</v>
      </c>
      <c r="Q7" t="s">
        <v>301</v>
      </c>
      <c r="R7" t="s">
        <v>302</v>
      </c>
      <c r="S7" t="s">
        <v>303</v>
      </c>
    </row>
    <row r="8" spans="1:21" x14ac:dyDescent="0.2">
      <c r="A8" t="s">
        <v>209</v>
      </c>
      <c r="B8" s="48">
        <f>G9</f>
        <v>9.7753370879728407E-2</v>
      </c>
      <c r="D8">
        <v>2016</v>
      </c>
      <c r="E8" s="10">
        <v>3000000</v>
      </c>
      <c r="F8" s="90">
        <v>81368477.202399999</v>
      </c>
      <c r="G8">
        <f>E8/F8</f>
        <v>3.6869314790513419E-2</v>
      </c>
      <c r="M8" t="s">
        <v>209</v>
      </c>
      <c r="N8" s="48">
        <f>S9</f>
        <v>9.7753370879728407E-2</v>
      </c>
      <c r="O8" s="11"/>
      <c r="P8">
        <v>2016</v>
      </c>
      <c r="Q8" s="10">
        <v>3000000</v>
      </c>
      <c r="R8" s="90">
        <v>81368477.202399999</v>
      </c>
      <c r="S8">
        <f>Q8/R8</f>
        <v>3.6869314790513419E-2</v>
      </c>
    </row>
    <row r="9" spans="1:21" x14ac:dyDescent="0.2">
      <c r="A9" t="s">
        <v>210</v>
      </c>
      <c r="B9" s="47">
        <v>2022</v>
      </c>
      <c r="D9">
        <v>2018</v>
      </c>
      <c r="E9" s="10">
        <v>8500000</v>
      </c>
      <c r="F9" s="90">
        <v>86953523.172699988</v>
      </c>
      <c r="G9">
        <f>E9/F9</f>
        <v>9.7753370879728407E-2</v>
      </c>
      <c r="M9" t="s">
        <v>210</v>
      </c>
      <c r="N9" s="47">
        <v>2022</v>
      </c>
      <c r="O9" s="11"/>
      <c r="P9">
        <v>2018</v>
      </c>
      <c r="Q9" s="10">
        <v>8500000</v>
      </c>
      <c r="R9" s="90">
        <v>86953523.172699988</v>
      </c>
      <c r="S9">
        <f>Q9/R9</f>
        <v>9.7753370879728407E-2</v>
      </c>
    </row>
    <row r="10" spans="1:21" x14ac:dyDescent="0.2">
      <c r="A10" t="s">
        <v>211</v>
      </c>
      <c r="B10" s="48">
        <f>('Adoption Path Fluopyram'!D25+'Adoption Path Sensitivity'!G12)</f>
        <v>0.40177157234694189</v>
      </c>
      <c r="G10">
        <v>0.26900000000000002</v>
      </c>
      <c r="M10" t="s">
        <v>211</v>
      </c>
      <c r="N10" s="48">
        <f>'Adoption Path Fluopyram'!D25-'Adoption Path Sensitivity'!S12</f>
        <v>0.37719202915326627</v>
      </c>
      <c r="O10" s="11"/>
      <c r="S10">
        <v>0.26900000000000002</v>
      </c>
    </row>
    <row r="11" spans="1:21" x14ac:dyDescent="0.2">
      <c r="A11" t="s">
        <v>212</v>
      </c>
      <c r="B11" s="48">
        <v>0.9</v>
      </c>
      <c r="E11" t="s">
        <v>339</v>
      </c>
      <c r="F11" t="s">
        <v>302</v>
      </c>
      <c r="G11" t="s">
        <v>303</v>
      </c>
      <c r="M11" t="s">
        <v>212</v>
      </c>
      <c r="N11" s="48">
        <v>0.9</v>
      </c>
      <c r="O11" s="11"/>
      <c r="Q11" t="s">
        <v>339</v>
      </c>
      <c r="R11" t="s">
        <v>302</v>
      </c>
      <c r="S11" t="s">
        <v>303</v>
      </c>
    </row>
    <row r="12" spans="1:21" x14ac:dyDescent="0.2">
      <c r="B12" s="50"/>
      <c r="D12" t="s">
        <v>338</v>
      </c>
      <c r="E12" s="10">
        <v>1000000</v>
      </c>
      <c r="F12" s="90">
        <v>81368477.202399999</v>
      </c>
      <c r="G12">
        <f>E12/F12</f>
        <v>1.2289771596837805E-2</v>
      </c>
      <c r="N12" s="50"/>
      <c r="O12" s="11"/>
      <c r="P12" t="s">
        <v>338</v>
      </c>
      <c r="Q12" s="10">
        <v>1000000</v>
      </c>
      <c r="R12" s="90">
        <v>81368477.202399999</v>
      </c>
      <c r="S12">
        <f>Q12/R12</f>
        <v>1.2289771596837805E-2</v>
      </c>
    </row>
    <row r="13" spans="1:21" x14ac:dyDescent="0.2">
      <c r="A13" t="s">
        <v>213</v>
      </c>
      <c r="B13" s="49">
        <f>(LN(1/B8-1)-LN(1/B10-1))/(B9-B7)</f>
        <v>0.45608781413234928</v>
      </c>
      <c r="M13" t="s">
        <v>213</v>
      </c>
      <c r="N13" s="49">
        <f>(LN(1/N8-1)-LN(1/N10-1))/(N9-N7)</f>
        <v>0.43023910127350129</v>
      </c>
      <c r="O13" s="11"/>
    </row>
    <row r="14" spans="1:21" x14ac:dyDescent="0.2">
      <c r="A14" t="s">
        <v>214</v>
      </c>
      <c r="B14" s="49">
        <f>LN(1/B8-1)/B13+B7</f>
        <v>2022.8728340367702</v>
      </c>
      <c r="M14" t="s">
        <v>214</v>
      </c>
      <c r="N14" s="49">
        <f>LN(1/N8-1)/N13+N7</f>
        <v>2023.1655933128388</v>
      </c>
      <c r="O14" s="11"/>
    </row>
    <row r="15" spans="1:21" x14ac:dyDescent="0.2">
      <c r="O15" s="11"/>
    </row>
    <row r="18" spans="1:22" x14ac:dyDescent="0.2">
      <c r="A18" s="99" t="s">
        <v>308</v>
      </c>
      <c r="B18" s="99"/>
      <c r="C18" s="99"/>
      <c r="D18" s="99"/>
      <c r="E18" s="99"/>
      <c r="F18" s="99"/>
      <c r="G18" s="99"/>
      <c r="H18" s="99"/>
      <c r="I18" s="99"/>
      <c r="J18" s="99"/>
      <c r="M18" s="99" t="s">
        <v>307</v>
      </c>
      <c r="N18" s="99"/>
      <c r="O18" s="99"/>
      <c r="P18" s="99"/>
      <c r="Q18" s="99"/>
      <c r="R18" s="99"/>
      <c r="S18" s="99"/>
      <c r="T18" s="99"/>
      <c r="U18" s="99"/>
      <c r="V18" s="99"/>
    </row>
    <row r="19" spans="1:22" ht="96" x14ac:dyDescent="0.2">
      <c r="A19" s="14"/>
      <c r="B19" s="53" t="s">
        <v>219</v>
      </c>
      <c r="C19" s="53"/>
      <c r="D19" s="53" t="s">
        <v>230</v>
      </c>
      <c r="M19" s="14" t="s">
        <v>38</v>
      </c>
      <c r="N19" s="53" t="s">
        <v>219</v>
      </c>
      <c r="O19" s="14" t="s">
        <v>38</v>
      </c>
      <c r="P19" s="14" t="s">
        <v>274</v>
      </c>
      <c r="Q19" s="53"/>
      <c r="R19" s="53" t="s">
        <v>230</v>
      </c>
      <c r="S19" s="53"/>
      <c r="T19" s="53"/>
    </row>
    <row r="20" spans="1:22" ht="17" x14ac:dyDescent="0.2">
      <c r="A20" s="51">
        <v>2013.5</v>
      </c>
      <c r="B20" s="52">
        <f>$B$11/(1+EXP(-$B$13*(A20:A76-$B$14)))</f>
        <v>1.2351048422425232E-2</v>
      </c>
      <c r="C20" s="54">
        <v>2013.5</v>
      </c>
      <c r="D20" s="63">
        <f>B20:B21</f>
        <v>1.2351048422425232E-2</v>
      </c>
      <c r="M20" s="51">
        <v>2013.5</v>
      </c>
      <c r="N20" s="52">
        <f>$N$11/(1+EXP(-$N$13*(M20:M76-$N$14)))</f>
        <v>1.3851156776486172E-2</v>
      </c>
      <c r="O20" s="51">
        <v>1996</v>
      </c>
      <c r="P20" s="85">
        <v>0.08</v>
      </c>
      <c r="Q20" s="54">
        <v>2013.5</v>
      </c>
      <c r="R20" s="63">
        <f>N20:N21</f>
        <v>1.3851156776486172E-2</v>
      </c>
      <c r="T20" s="63"/>
    </row>
    <row r="21" spans="1:22" x14ac:dyDescent="0.2">
      <c r="A21" s="51">
        <v>2014</v>
      </c>
      <c r="B21" s="52">
        <f t="shared" ref="B21:B51" si="0">$B$11/(1+EXP(-$B$13*(A21:A77-$B$14)))</f>
        <v>1.5460307108568612E-2</v>
      </c>
      <c r="C21" s="54">
        <v>2014.5</v>
      </c>
      <c r="D21" s="63">
        <f>AVERAGE(B22:B23)</f>
        <v>2.1745051433085315E-2</v>
      </c>
      <c r="M21" s="51">
        <v>2014</v>
      </c>
      <c r="N21" s="52">
        <f t="shared" ref="N21:N76" si="1">$N$11/(1+EXP(-$N$13*(M21:M77-$N$14)))</f>
        <v>1.7112365128559789E-2</v>
      </c>
      <c r="O21" s="51">
        <v>1996.5</v>
      </c>
      <c r="Q21" s="54">
        <v>2014.5</v>
      </c>
      <c r="R21" s="63">
        <f>AVERAGE(N22:N23)</f>
        <v>2.3584631507696491E-2</v>
      </c>
      <c r="T21" s="63"/>
    </row>
    <row r="22" spans="1:22" x14ac:dyDescent="0.2">
      <c r="A22" s="51">
        <v>2014.5</v>
      </c>
      <c r="B22" s="52">
        <f t="shared" si="0"/>
        <v>1.9335242265777031E-2</v>
      </c>
      <c r="C22" s="54">
        <v>2015.5</v>
      </c>
      <c r="D22" s="63">
        <f>AVERAGE(B24:B25)</f>
        <v>3.3833158093577648E-2</v>
      </c>
      <c r="M22" s="51">
        <v>2014.5</v>
      </c>
      <c r="N22" s="52">
        <f t="shared" si="1"/>
        <v>2.1123111037367217E-2</v>
      </c>
      <c r="O22" s="51">
        <v>1997</v>
      </c>
      <c r="Q22" s="54">
        <v>2015.5</v>
      </c>
      <c r="R22" s="63">
        <f>AVERAGE(N24:N25)</f>
        <v>3.5755171862606877E-2</v>
      </c>
      <c r="T22" s="63"/>
    </row>
    <row r="23" spans="1:22" x14ac:dyDescent="0.2">
      <c r="A23" s="51">
        <v>2015</v>
      </c>
      <c r="B23" s="52">
        <f t="shared" si="0"/>
        <v>2.41548606003936E-2</v>
      </c>
      <c r="C23" s="54">
        <v>2016.5</v>
      </c>
      <c r="D23" s="63">
        <f>AVERAGE(B26:B27)</f>
        <v>5.2236883212108981E-2</v>
      </c>
      <c r="M23" s="51">
        <v>2015</v>
      </c>
      <c r="N23" s="52">
        <f t="shared" si="1"/>
        <v>2.6046151978025765E-2</v>
      </c>
      <c r="O23" s="51">
        <v>1997.5</v>
      </c>
      <c r="Q23" s="54">
        <v>2016.5</v>
      </c>
      <c r="R23" s="63">
        <f>AVERAGE(N26:N27)</f>
        <v>5.3816666531042764E-2</v>
      </c>
      <c r="T23" s="63"/>
    </row>
    <row r="24" spans="1:22" x14ac:dyDescent="0.2">
      <c r="A24" s="51">
        <v>2015.5</v>
      </c>
      <c r="B24" s="52">
        <f t="shared" si="0"/>
        <v>3.0134737298405958E-2</v>
      </c>
      <c r="C24" s="54">
        <v>2017.5</v>
      </c>
      <c r="D24" s="63">
        <f>AVERAGE(B28:B29)</f>
        <v>7.9720435651092089E-2</v>
      </c>
      <c r="M24" s="51">
        <v>2015.5</v>
      </c>
      <c r="N24" s="52">
        <f t="shared" si="1"/>
        <v>3.2074703588869526E-2</v>
      </c>
      <c r="O24" s="51">
        <v>1998</v>
      </c>
      <c r="Q24" s="54">
        <v>2017.5</v>
      </c>
      <c r="R24" s="63">
        <f>AVERAGE(N28:N29)</f>
        <v>8.0147890090957269E-2</v>
      </c>
      <c r="T24" s="63"/>
    </row>
    <row r="25" spans="1:22" x14ac:dyDescent="0.2">
      <c r="A25" s="51">
        <v>2016</v>
      </c>
      <c r="B25" s="52">
        <f t="shared" si="0"/>
        <v>3.7531578888749341E-2</v>
      </c>
      <c r="C25" s="54">
        <v>2018.5</v>
      </c>
      <c r="D25" s="63">
        <f>AVERAGE(B30:B31)</f>
        <v>0.11960507628029546</v>
      </c>
      <c r="M25" s="51">
        <v>2016</v>
      </c>
      <c r="N25" s="52">
        <f t="shared" si="1"/>
        <v>3.9435640136344222E-2</v>
      </c>
      <c r="O25" s="51">
        <v>1998.5</v>
      </c>
      <c r="Q25" s="54">
        <v>2018.5</v>
      </c>
      <c r="R25" s="63">
        <f>AVERAGE(N30:N31)</f>
        <v>0.11755777935736436</v>
      </c>
      <c r="T25" s="63"/>
    </row>
    <row r="26" spans="1:22" x14ac:dyDescent="0.2">
      <c r="A26" s="51">
        <v>2016.5</v>
      </c>
      <c r="B26" s="52">
        <f t="shared" si="0"/>
        <v>4.664667859621878E-2</v>
      </c>
      <c r="C26" s="54">
        <v>2019.5</v>
      </c>
      <c r="D26" s="63">
        <f>AVERAGE(B32:B33)</f>
        <v>0.17515074336876579</v>
      </c>
      <c r="M26" s="51">
        <v>2016.5</v>
      </c>
      <c r="N26" s="52">
        <f t="shared" si="1"/>
        <v>4.8391676718097063E-2</v>
      </c>
      <c r="O26" s="51">
        <v>1999</v>
      </c>
      <c r="Q26" s="54">
        <v>2019.5</v>
      </c>
      <c r="R26" s="63">
        <f>AVERAGE(N32:N33)</f>
        <v>0.1688088631762486</v>
      </c>
      <c r="T26" s="63"/>
    </row>
    <row r="27" spans="1:22" x14ac:dyDescent="0.2">
      <c r="A27" s="51">
        <v>2017</v>
      </c>
      <c r="B27" s="52">
        <f t="shared" si="0"/>
        <v>5.7827087827999189E-2</v>
      </c>
      <c r="C27" s="54">
        <v>2020.5</v>
      </c>
      <c r="D27" s="63">
        <f>AVERAGE(B34:B35)</f>
        <v>0.24823953844380037</v>
      </c>
      <c r="M27" s="51">
        <v>2017</v>
      </c>
      <c r="N27" s="52">
        <f t="shared" si="1"/>
        <v>5.9241656343988473E-2</v>
      </c>
      <c r="O27" s="51">
        <v>1999.5</v>
      </c>
      <c r="Q27" s="54">
        <v>2020.5</v>
      </c>
      <c r="R27" s="63">
        <f>AVERAGE(N34:N35)</f>
        <v>0.23563871689012514</v>
      </c>
      <c r="T27" s="63"/>
    </row>
    <row r="28" spans="1:22" x14ac:dyDescent="0.2">
      <c r="A28" s="51">
        <v>2017.5</v>
      </c>
      <c r="B28" s="52">
        <f t="shared" si="0"/>
        <v>7.1462837510430602E-2</v>
      </c>
      <c r="C28" s="54">
        <v>2021.5</v>
      </c>
      <c r="D28" s="63">
        <f>AVERAGE(B36:B37)</f>
        <v>0.3375717683844438</v>
      </c>
      <c r="M28" s="51">
        <v>2017.5</v>
      </c>
      <c r="N28" s="52">
        <f t="shared" si="1"/>
        <v>7.2317746390157547E-2</v>
      </c>
      <c r="O28" s="51">
        <v>2000</v>
      </c>
      <c r="Q28" s="54">
        <v>2021.5</v>
      </c>
      <c r="R28" s="63">
        <f>AVERAGE(N36:N37)</f>
        <v>0.31740003504966169</v>
      </c>
      <c r="T28" s="63"/>
    </row>
    <row r="29" spans="1:22" x14ac:dyDescent="0.2">
      <c r="A29" s="51">
        <v>2018</v>
      </c>
      <c r="B29" s="52">
        <f t="shared" si="0"/>
        <v>8.7978033791753577E-2</v>
      </c>
      <c r="C29" s="54">
        <v>2022.5</v>
      </c>
      <c r="D29" s="63">
        <f>AVERAGE(B38:B39)</f>
        <v>0.4374389355111179</v>
      </c>
      <c r="M29" s="51">
        <v>2018</v>
      </c>
      <c r="N29" s="52">
        <f t="shared" si="1"/>
        <v>8.797803379175699E-2</v>
      </c>
      <c r="O29" s="51">
        <v>2000.5</v>
      </c>
      <c r="Q29" s="54">
        <v>2022.5</v>
      </c>
      <c r="R29" s="63">
        <f>AVERAGE(N38:N39)</f>
        <v>0.40999074158214499</v>
      </c>
      <c r="T29" s="63"/>
    </row>
    <row r="30" spans="1:22" x14ac:dyDescent="0.2">
      <c r="A30" s="51">
        <v>2018.5</v>
      </c>
      <c r="B30" s="52">
        <f t="shared" si="0"/>
        <v>0.10781327641546889</v>
      </c>
      <c r="C30" s="54">
        <v>2023.5</v>
      </c>
      <c r="D30" s="63">
        <f>AVERAGE(B40:B41)</f>
        <v>0.53855597336547878</v>
      </c>
      <c r="M30" s="51">
        <v>2018.5</v>
      </c>
      <c r="N30" s="52">
        <f t="shared" si="1"/>
        <v>0.10659279453541207</v>
      </c>
      <c r="O30" s="51">
        <v>2001</v>
      </c>
      <c r="Q30" s="54">
        <v>2023.5</v>
      </c>
      <c r="R30" s="63">
        <f>AVERAGE(N40:N41)</f>
        <v>0.50611669703283613</v>
      </c>
      <c r="T30" s="63"/>
    </row>
    <row r="31" spans="1:22" x14ac:dyDescent="0.2">
      <c r="A31" s="51">
        <v>2019</v>
      </c>
      <c r="B31" s="52">
        <f t="shared" si="0"/>
        <v>0.13139687614512202</v>
      </c>
      <c r="C31" s="54">
        <v>2024.5</v>
      </c>
      <c r="D31" s="63">
        <f>AVERAGE(B42:B43)</f>
        <v>0.63117713238904649</v>
      </c>
      <c r="M31" s="51">
        <v>2019</v>
      </c>
      <c r="N31" s="52">
        <f t="shared" si="1"/>
        <v>0.12852276417931666</v>
      </c>
      <c r="O31" s="51">
        <v>2001.5</v>
      </c>
      <c r="Q31" s="54">
        <v>2024.5</v>
      </c>
      <c r="R31" s="63">
        <f>AVERAGE(N42:N43)</f>
        <v>0.59732037995277043</v>
      </c>
      <c r="T31" s="63"/>
    </row>
    <row r="32" spans="1:22" x14ac:dyDescent="0.2">
      <c r="A32" s="51">
        <v>2019.5</v>
      </c>
      <c r="B32" s="52">
        <f t="shared" si="0"/>
        <v>0.15910317286192696</v>
      </c>
      <c r="C32" s="54">
        <v>2025.5</v>
      </c>
      <c r="D32" s="63">
        <f>AVERAGE(B44:B45)</f>
        <v>0.70853668234305067</v>
      </c>
      <c r="M32" s="51">
        <v>2019.5</v>
      </c>
      <c r="N32" s="52">
        <f t="shared" si="1"/>
        <v>0.15408827973513886</v>
      </c>
      <c r="O32" s="51">
        <v>2002</v>
      </c>
      <c r="Q32" s="54">
        <v>2025.5</v>
      </c>
      <c r="R32" s="63">
        <f>AVERAGE(N44:N45)</f>
        <v>0.67674793363057439</v>
      </c>
      <c r="T32" s="63"/>
    </row>
    <row r="33" spans="1:20" x14ac:dyDescent="0.2">
      <c r="A33" s="51">
        <v>2020</v>
      </c>
      <c r="B33" s="52">
        <f t="shared" si="0"/>
        <v>0.1911983138756046</v>
      </c>
      <c r="C33" s="54">
        <v>2026.5</v>
      </c>
      <c r="D33" s="63">
        <f>AVERAGE(B46:B47)</f>
        <v>0.7683088621741021</v>
      </c>
      <c r="M33" s="51">
        <v>2020</v>
      </c>
      <c r="N33" s="52">
        <f t="shared" si="1"/>
        <v>0.18352944661735834</v>
      </c>
      <c r="O33" s="51">
        <v>2002.5</v>
      </c>
      <c r="Q33" s="54">
        <v>2026.5</v>
      </c>
      <c r="R33" s="63">
        <f>AVERAGE(N46:N47)</f>
        <v>0.74091055314041199</v>
      </c>
      <c r="T33" s="63"/>
    </row>
    <row r="34" spans="1:20" x14ac:dyDescent="0.2">
      <c r="A34" s="51">
        <v>2020.5</v>
      </c>
      <c r="B34" s="52">
        <f t="shared" si="0"/>
        <v>0.22777740174967748</v>
      </c>
      <c r="C34" s="54">
        <v>2027.5</v>
      </c>
      <c r="D34" s="63">
        <f>AVERAGE(B48:B49)</f>
        <v>0.81176406193502426</v>
      </c>
      <c r="M34" s="51">
        <v>2020.5</v>
      </c>
      <c r="N34" s="52">
        <f t="shared" si="1"/>
        <v>0.21695966195384636</v>
      </c>
      <c r="O34" s="51">
        <v>2003</v>
      </c>
      <c r="Q34" s="54">
        <v>2027.5</v>
      </c>
      <c r="R34" s="63">
        <f>AVERAGE(N48:N49)</f>
        <v>0.78965921243406823</v>
      </c>
      <c r="T34" s="63"/>
    </row>
    <row r="35" spans="1:20" x14ac:dyDescent="0.2">
      <c r="A35" s="51">
        <v>2021</v>
      </c>
      <c r="B35" s="52">
        <f t="shared" si="0"/>
        <v>0.26870167513792326</v>
      </c>
      <c r="C35" s="54">
        <v>2028.5</v>
      </c>
      <c r="D35" s="63">
        <f>AVERAGE(B50:B51)</f>
        <v>0.84197353143692877</v>
      </c>
      <c r="M35" s="51">
        <v>2021</v>
      </c>
      <c r="N35" s="52">
        <f t="shared" si="1"/>
        <v>0.25431777182640392</v>
      </c>
      <c r="O35" s="51">
        <v>2003.5</v>
      </c>
      <c r="Q35" s="54">
        <v>2028.5</v>
      </c>
      <c r="R35" s="63">
        <f>AVERAGE(N50:N51)</f>
        <v>0.82499446426977863</v>
      </c>
      <c r="T35" s="63"/>
    </row>
    <row r="36" spans="1:20" x14ac:dyDescent="0.2">
      <c r="A36" s="51">
        <v>2021.5</v>
      </c>
      <c r="B36" s="52">
        <f t="shared" si="0"/>
        <v>0.31354912165664539</v>
      </c>
      <c r="C36" s="54">
        <v>2029.5</v>
      </c>
      <c r="D36" s="63">
        <f>AVERAGE(B52:B53)</f>
        <v>0.86232534705290809</v>
      </c>
      <c r="M36" s="51">
        <v>2021.5</v>
      </c>
      <c r="N36" s="52">
        <f t="shared" si="1"/>
        <v>0.29532724386137993</v>
      </c>
      <c r="O36" s="51">
        <v>2004</v>
      </c>
      <c r="Q36" s="54">
        <v>2029.5</v>
      </c>
      <c r="R36" s="63">
        <f>AVERAGE(N52:N53)</f>
        <v>0.84974078762989558</v>
      </c>
      <c r="T36" s="63"/>
    </row>
    <row r="37" spans="1:20" x14ac:dyDescent="0.2">
      <c r="A37" s="51">
        <v>2022</v>
      </c>
      <c r="B37" s="52">
        <f t="shared" si="0"/>
        <v>0.36159441511224227</v>
      </c>
      <c r="C37" s="54">
        <v>2030.5</v>
      </c>
      <c r="D37" s="63">
        <f>AVERAGE(B54:B55)</f>
        <v>0.87574708341892837</v>
      </c>
      <c r="M37" s="51">
        <v>2022</v>
      </c>
      <c r="N37" s="52">
        <f t="shared" si="1"/>
        <v>0.33947282623794345</v>
      </c>
      <c r="O37" s="51">
        <v>2004.5</v>
      </c>
      <c r="Q37" s="54">
        <v>2030.5</v>
      </c>
      <c r="R37" s="63">
        <f>AVERAGE(N54:N55)</f>
        <v>0.8666558782035112</v>
      </c>
      <c r="T37" s="63"/>
    </row>
    <row r="38" spans="1:20" x14ac:dyDescent="0.2">
      <c r="A38" s="51">
        <v>2022.5</v>
      </c>
      <c r="B38" s="52">
        <f t="shared" si="0"/>
        <v>0.41183178752844418</v>
      </c>
      <c r="C38" s="54">
        <v>2031.5</v>
      </c>
      <c r="D38" s="63">
        <f>AVERAGE(B56:B57)</f>
        <v>0.88447439813338669</v>
      </c>
      <c r="M38" s="51">
        <v>2022.5</v>
      </c>
      <c r="N38" s="52">
        <f t="shared" si="1"/>
        <v>0.38600476771296754</v>
      </c>
      <c r="O38" s="51">
        <v>2005</v>
      </c>
      <c r="Q38" s="54">
        <v>2031.5</v>
      </c>
      <c r="R38" s="63">
        <f>AVERAGE(N56:N57)</f>
        <v>0.87802681723495035</v>
      </c>
      <c r="T38" s="63"/>
    </row>
    <row r="39" spans="1:20" x14ac:dyDescent="0.2">
      <c r="A39" s="51">
        <v>2023</v>
      </c>
      <c r="B39" s="52">
        <f t="shared" si="0"/>
        <v>0.46304608349379167</v>
      </c>
      <c r="M39" s="51">
        <v>2023</v>
      </c>
      <c r="N39" s="52">
        <f t="shared" si="1"/>
        <v>0.43397671545132244</v>
      </c>
      <c r="O39" s="51">
        <v>2005.5</v>
      </c>
    </row>
    <row r="40" spans="1:20" x14ac:dyDescent="0.2">
      <c r="A40" s="51">
        <v>2023.5</v>
      </c>
      <c r="B40" s="52">
        <f t="shared" si="0"/>
        <v>0.51392435272291592</v>
      </c>
      <c r="M40" s="51">
        <v>2023.5</v>
      </c>
      <c r="N40" s="52">
        <f t="shared" si="1"/>
        <v>0.48231611134062968</v>
      </c>
      <c r="O40" s="51">
        <v>2006</v>
      </c>
    </row>
    <row r="41" spans="1:20" x14ac:dyDescent="0.2">
      <c r="A41" s="51">
        <v>2024</v>
      </c>
      <c r="B41" s="52">
        <f t="shared" si="0"/>
        <v>0.56318759400804175</v>
      </c>
      <c r="M41" s="51">
        <v>2024</v>
      </c>
      <c r="N41" s="52">
        <f t="shared" si="1"/>
        <v>0.52991728272504257</v>
      </c>
      <c r="O41" s="51">
        <v>2006.5</v>
      </c>
    </row>
    <row r="42" spans="1:20" x14ac:dyDescent="0.2">
      <c r="A42" s="51">
        <v>2024.5</v>
      </c>
      <c r="B42" s="52">
        <f t="shared" si="0"/>
        <v>0.60971541918080885</v>
      </c>
      <c r="M42" s="51">
        <v>2024.5</v>
      </c>
      <c r="N42" s="52">
        <f t="shared" si="1"/>
        <v>0.57574071087972301</v>
      </c>
      <c r="O42" s="51">
        <v>2007</v>
      </c>
    </row>
    <row r="43" spans="1:20" x14ac:dyDescent="0.2">
      <c r="A43" s="51">
        <v>2025</v>
      </c>
      <c r="B43" s="52">
        <f t="shared" si="0"/>
        <v>0.65263884559728413</v>
      </c>
      <c r="M43" s="51">
        <v>2025</v>
      </c>
      <c r="N43" s="52">
        <f t="shared" si="1"/>
        <v>0.61890004902581786</v>
      </c>
      <c r="O43" s="51">
        <v>2007.5</v>
      </c>
    </row>
    <row r="44" spans="1:20" ht="17" x14ac:dyDescent="0.2">
      <c r="A44" s="51">
        <v>2025.5</v>
      </c>
      <c r="B44" s="52">
        <f t="shared" si="0"/>
        <v>0.69138692267647406</v>
      </c>
      <c r="M44" s="51">
        <v>2025.5</v>
      </c>
      <c r="N44" s="52">
        <f t="shared" si="1"/>
        <v>0.65872221836677991</v>
      </c>
      <c r="O44" s="51">
        <v>2008</v>
      </c>
      <c r="P44" s="85">
        <v>0.3</v>
      </c>
    </row>
    <row r="45" spans="1:20" x14ac:dyDescent="0.2">
      <c r="A45" s="51">
        <v>2026</v>
      </c>
      <c r="B45" s="52">
        <f t="shared" si="0"/>
        <v>0.72568644200962729</v>
      </c>
      <c r="M45" s="51">
        <v>2026</v>
      </c>
      <c r="N45" s="52">
        <f t="shared" si="1"/>
        <v>0.69477364889436877</v>
      </c>
      <c r="O45" s="51">
        <v>2008.5</v>
      </c>
    </row>
    <row r="46" spans="1:20" x14ac:dyDescent="0.2">
      <c r="A46" s="51">
        <v>2026.5</v>
      </c>
      <c r="B46" s="52">
        <f t="shared" si="0"/>
        <v>0.75552497647537009</v>
      </c>
      <c r="M46" s="51">
        <v>2026.5</v>
      </c>
      <c r="N46" s="52">
        <f t="shared" si="1"/>
        <v>0.72685423401904536</v>
      </c>
      <c r="O46" s="51">
        <v>2009</v>
      </c>
    </row>
    <row r="47" spans="1:20" x14ac:dyDescent="0.2">
      <c r="A47" s="51">
        <v>2027</v>
      </c>
      <c r="B47" s="52">
        <f t="shared" si="0"/>
        <v>0.78109274787283411</v>
      </c>
      <c r="M47" s="51">
        <v>2027</v>
      </c>
      <c r="N47" s="52">
        <f t="shared" si="1"/>
        <v>0.75496687226177861</v>
      </c>
      <c r="O47" s="51">
        <v>2009.5</v>
      </c>
    </row>
    <row r="48" spans="1:20" x14ac:dyDescent="0.2">
      <c r="A48" s="51">
        <v>2027.5</v>
      </c>
      <c r="B48" s="52">
        <f t="shared" si="0"/>
        <v>0.80271839199469108</v>
      </c>
      <c r="M48" s="51">
        <v>2027.5</v>
      </c>
      <c r="N48" s="52">
        <f t="shared" si="1"/>
        <v>0.77927316746790654</v>
      </c>
      <c r="O48" s="51">
        <v>2010</v>
      </c>
    </row>
    <row r="49" spans="1:16" x14ac:dyDescent="0.2">
      <c r="A49" s="51">
        <v>2028</v>
      </c>
      <c r="B49" s="52">
        <f t="shared" si="0"/>
        <v>0.82080973187535744</v>
      </c>
      <c r="M49" s="51">
        <v>2028</v>
      </c>
      <c r="N49" s="52">
        <f t="shared" si="1"/>
        <v>0.8000452574002298</v>
      </c>
      <c r="O49" s="51">
        <v>2010.5</v>
      </c>
    </row>
    <row r="50" spans="1:16" x14ac:dyDescent="0.2">
      <c r="A50" s="51">
        <v>2028.5</v>
      </c>
      <c r="B50" s="52">
        <f t="shared" si="0"/>
        <v>0.83580570452082803</v>
      </c>
      <c r="M50" s="51">
        <v>2028.5</v>
      </c>
      <c r="N50" s="52">
        <f t="shared" si="1"/>
        <v>0.81762114854910173</v>
      </c>
      <c r="O50" s="51">
        <v>2011</v>
      </c>
    </row>
    <row r="51" spans="1:16" x14ac:dyDescent="0.2">
      <c r="A51" s="51">
        <v>2029</v>
      </c>
      <c r="B51" s="52">
        <f t="shared" si="0"/>
        <v>0.8481413583530294</v>
      </c>
      <c r="M51" s="51">
        <v>2029</v>
      </c>
      <c r="N51" s="52">
        <f t="shared" si="1"/>
        <v>0.83236777999045553</v>
      </c>
      <c r="O51" s="51">
        <v>2011.5</v>
      </c>
    </row>
    <row r="52" spans="1:16" x14ac:dyDescent="0.2">
      <c r="A52" s="51">
        <v>2029.5</v>
      </c>
      <c r="B52" s="52">
        <f t="shared" ref="B52:B76" si="2">$B$11/(1+EXP(-$B$13*(A52:A108-$B$14)))</f>
        <v>0.85822505615555278</v>
      </c>
      <c r="M52" s="51">
        <v>2029.5</v>
      </c>
      <c r="N52" s="52">
        <f t="shared" si="1"/>
        <v>0.8446533119293157</v>
      </c>
      <c r="O52" s="51">
        <v>2012</v>
      </c>
      <c r="P52" s="3">
        <v>0.32940000000000003</v>
      </c>
    </row>
    <row r="53" spans="1:16" x14ac:dyDescent="0.2">
      <c r="A53" s="51">
        <v>2030</v>
      </c>
      <c r="B53" s="52">
        <f t="shared" si="2"/>
        <v>0.86642563795026339</v>
      </c>
      <c r="M53" s="51">
        <v>2030</v>
      </c>
      <c r="N53" s="52">
        <f t="shared" si="1"/>
        <v>0.85482826333047546</v>
      </c>
      <c r="O53" s="51">
        <v>2012.5</v>
      </c>
    </row>
    <row r="54" spans="1:16" x14ac:dyDescent="0.2">
      <c r="A54" s="51">
        <v>2030.5</v>
      </c>
      <c r="B54" s="52">
        <f t="shared" si="2"/>
        <v>0.87306693345426178</v>
      </c>
      <c r="M54" s="51">
        <v>2030.5</v>
      </c>
      <c r="N54" s="52">
        <f t="shared" si="1"/>
        <v>0.86321411455955321</v>
      </c>
      <c r="O54" s="51">
        <v>2013</v>
      </c>
    </row>
    <row r="55" spans="1:16" x14ac:dyDescent="0.2">
      <c r="A55" s="51">
        <v>2031</v>
      </c>
      <c r="B55" s="52">
        <f t="shared" si="2"/>
        <v>0.87842723338359496</v>
      </c>
      <c r="M55" s="51">
        <v>2031</v>
      </c>
      <c r="N55" s="52">
        <f t="shared" si="1"/>
        <v>0.87009764184746918</v>
      </c>
      <c r="O55" s="51">
        <v>2013.5</v>
      </c>
    </row>
    <row r="56" spans="1:16" x14ac:dyDescent="0.2">
      <c r="A56" s="51">
        <v>2031.5</v>
      </c>
      <c r="B56" s="52">
        <f t="shared" si="2"/>
        <v>0.88274179853683599</v>
      </c>
      <c r="M56" s="51">
        <v>2031.5</v>
      </c>
      <c r="N56" s="52">
        <f t="shared" si="1"/>
        <v>0.87572931131996745</v>
      </c>
      <c r="O56" s="51">
        <v>2014</v>
      </c>
    </row>
    <row r="57" spans="1:16" x14ac:dyDescent="0.2">
      <c r="A57" s="51">
        <v>2032</v>
      </c>
      <c r="B57" s="52">
        <f t="shared" si="2"/>
        <v>0.88620699772993738</v>
      </c>
      <c r="M57" s="51">
        <v>2032</v>
      </c>
      <c r="N57" s="52">
        <f t="shared" si="1"/>
        <v>0.88032432314993314</v>
      </c>
      <c r="O57" s="51">
        <v>2014.5</v>
      </c>
    </row>
    <row r="58" spans="1:16" ht="17" x14ac:dyDescent="0.2">
      <c r="A58" s="51">
        <v>2033</v>
      </c>
      <c r="B58" s="52">
        <f t="shared" si="2"/>
        <v>0.89120923060054069</v>
      </c>
      <c r="M58" s="51">
        <v>2033</v>
      </c>
      <c r="N58" s="52">
        <f t="shared" si="1"/>
        <v>0.88710528702111502</v>
      </c>
      <c r="O58" s="51">
        <v>2015</v>
      </c>
      <c r="P58" s="85">
        <v>0.38519999999999999</v>
      </c>
    </row>
    <row r="59" spans="1:16" x14ac:dyDescent="0.2">
      <c r="A59" s="51">
        <v>2033</v>
      </c>
      <c r="B59" s="52">
        <f t="shared" si="2"/>
        <v>0.89120923060054069</v>
      </c>
      <c r="M59" s="51">
        <v>2033</v>
      </c>
      <c r="N59" s="52">
        <f t="shared" si="1"/>
        <v>0.88710528702111502</v>
      </c>
      <c r="O59" s="51">
        <v>2015.5</v>
      </c>
    </row>
    <row r="60" spans="1:16" x14ac:dyDescent="0.2">
      <c r="A60" s="51">
        <v>2034</v>
      </c>
      <c r="B60" s="52">
        <f t="shared" si="2"/>
        <v>0.894408776626612</v>
      </c>
      <c r="M60" s="51">
        <v>2034</v>
      </c>
      <c r="N60" s="52">
        <f t="shared" si="1"/>
        <v>0.89157165513487813</v>
      </c>
      <c r="O60" s="51">
        <v>2016</v>
      </c>
    </row>
    <row r="61" spans="1:16" x14ac:dyDescent="0.2">
      <c r="A61" s="51">
        <v>2034</v>
      </c>
      <c r="B61" s="52">
        <f t="shared" si="2"/>
        <v>0.894408776626612</v>
      </c>
      <c r="M61" s="51">
        <v>2034</v>
      </c>
      <c r="N61" s="52">
        <f t="shared" si="1"/>
        <v>0.89157165513487813</v>
      </c>
      <c r="O61" s="51">
        <v>2016.5</v>
      </c>
    </row>
    <row r="62" spans="1:16" x14ac:dyDescent="0.2">
      <c r="A62" s="54">
        <v>2035</v>
      </c>
      <c r="B62" s="52">
        <f t="shared" si="2"/>
        <v>0.89644843568606847</v>
      </c>
      <c r="M62" s="54">
        <v>2035</v>
      </c>
      <c r="N62" s="52">
        <f t="shared" si="1"/>
        <v>0.89450058862486559</v>
      </c>
      <c r="O62" s="51">
        <v>2017</v>
      </c>
      <c r="P62" s="3">
        <v>0.426875</v>
      </c>
    </row>
    <row r="63" spans="1:16" x14ac:dyDescent="0.2">
      <c r="A63" s="54">
        <v>2035</v>
      </c>
      <c r="B63" s="52">
        <f t="shared" si="2"/>
        <v>0.89644843568606847</v>
      </c>
      <c r="M63" s="54">
        <v>2035</v>
      </c>
      <c r="N63" s="52">
        <f t="shared" si="1"/>
        <v>0.89450058862486559</v>
      </c>
    </row>
    <row r="64" spans="1:16" x14ac:dyDescent="0.2">
      <c r="A64" s="54">
        <v>2036</v>
      </c>
      <c r="B64" s="52">
        <f t="shared" si="2"/>
        <v>0.89774590931758746</v>
      </c>
      <c r="M64" s="54">
        <v>2036</v>
      </c>
      <c r="N64" s="52">
        <f t="shared" si="1"/>
        <v>0.89641578046445014</v>
      </c>
    </row>
    <row r="65" spans="1:14" x14ac:dyDescent="0.2">
      <c r="A65" s="54">
        <v>2036</v>
      </c>
      <c r="B65" s="52">
        <f t="shared" si="2"/>
        <v>0.89774590931758746</v>
      </c>
      <c r="M65" s="54">
        <v>2036</v>
      </c>
      <c r="N65" s="52">
        <f t="shared" si="1"/>
        <v>0.89641578046445014</v>
      </c>
    </row>
    <row r="66" spans="1:14" x14ac:dyDescent="0.2">
      <c r="A66" s="54">
        <v>2037</v>
      </c>
      <c r="B66" s="52">
        <f t="shared" si="2"/>
        <v>0.89857014002115643</v>
      </c>
      <c r="M66" s="54">
        <v>2037</v>
      </c>
      <c r="N66" s="52">
        <f t="shared" si="1"/>
        <v>0.89766573965613172</v>
      </c>
    </row>
    <row r="67" spans="1:14" x14ac:dyDescent="0.2">
      <c r="A67" s="54">
        <v>2037</v>
      </c>
      <c r="B67" s="52">
        <f t="shared" si="2"/>
        <v>0.89857014002115643</v>
      </c>
      <c r="M67" s="54">
        <v>2037</v>
      </c>
      <c r="N67" s="52">
        <f t="shared" si="1"/>
        <v>0.89766573965613172</v>
      </c>
    </row>
    <row r="68" spans="1:14" x14ac:dyDescent="0.2">
      <c r="A68" s="54">
        <v>2038</v>
      </c>
      <c r="B68" s="52">
        <f t="shared" si="2"/>
        <v>0.89909328695910729</v>
      </c>
      <c r="M68" s="54">
        <v>2038</v>
      </c>
      <c r="N68" s="52">
        <f t="shared" si="1"/>
        <v>0.89848052750364804</v>
      </c>
    </row>
    <row r="69" spans="1:14" x14ac:dyDescent="0.2">
      <c r="A69" s="54">
        <v>2038</v>
      </c>
      <c r="B69" s="52">
        <f t="shared" si="2"/>
        <v>0.89909328695910729</v>
      </c>
      <c r="M69" s="54">
        <v>2038</v>
      </c>
      <c r="N69" s="52">
        <f t="shared" si="1"/>
        <v>0.89848052750364804</v>
      </c>
    </row>
    <row r="70" spans="1:14" x14ac:dyDescent="0.2">
      <c r="A70" s="54">
        <v>2039</v>
      </c>
      <c r="B70" s="52">
        <f t="shared" si="2"/>
        <v>0.89942515108778487</v>
      </c>
      <c r="M70" s="54">
        <v>2039</v>
      </c>
      <c r="N70" s="52">
        <f t="shared" si="1"/>
        <v>0.89901122194411032</v>
      </c>
    </row>
    <row r="71" spans="1:14" x14ac:dyDescent="0.2">
      <c r="A71" s="54">
        <v>2039</v>
      </c>
      <c r="B71" s="52">
        <f t="shared" si="2"/>
        <v>0.89942515108778487</v>
      </c>
      <c r="M71" s="54">
        <v>2039</v>
      </c>
      <c r="N71" s="52">
        <f t="shared" si="1"/>
        <v>0.89901122194411032</v>
      </c>
    </row>
    <row r="72" spans="1:14" x14ac:dyDescent="0.2">
      <c r="A72" s="54">
        <v>2040</v>
      </c>
      <c r="B72" s="52">
        <f t="shared" si="2"/>
        <v>0.89963559955576089</v>
      </c>
      <c r="M72" s="54">
        <v>2040</v>
      </c>
      <c r="N72" s="52">
        <f t="shared" si="1"/>
        <v>0.89935669753985925</v>
      </c>
    </row>
    <row r="73" spans="1:14" x14ac:dyDescent="0.2">
      <c r="A73" s="54">
        <v>2040</v>
      </c>
      <c r="B73" s="52">
        <f t="shared" si="2"/>
        <v>0.89963559955576089</v>
      </c>
      <c r="M73" s="54">
        <v>2040</v>
      </c>
      <c r="N73" s="52">
        <f t="shared" si="1"/>
        <v>0.89935669753985925</v>
      </c>
    </row>
    <row r="74" spans="1:14" x14ac:dyDescent="0.2">
      <c r="A74" s="54">
        <v>2041</v>
      </c>
      <c r="B74" s="52">
        <f t="shared" si="2"/>
        <v>0.8997690239861994</v>
      </c>
      <c r="M74" s="54">
        <v>2041</v>
      </c>
      <c r="N74" s="52">
        <f t="shared" si="1"/>
        <v>0.89958152135837954</v>
      </c>
    </row>
    <row r="75" spans="1:14" x14ac:dyDescent="0.2">
      <c r="A75" s="54">
        <v>2041</v>
      </c>
      <c r="B75" s="52">
        <f t="shared" si="2"/>
        <v>0.8997690239861994</v>
      </c>
      <c r="M75" s="54">
        <v>2041</v>
      </c>
      <c r="N75" s="52">
        <f t="shared" si="1"/>
        <v>0.89958152135837954</v>
      </c>
    </row>
    <row r="76" spans="1:14" x14ac:dyDescent="0.2">
      <c r="A76" s="54">
        <v>2042</v>
      </c>
      <c r="B76" s="52">
        <f t="shared" si="2"/>
        <v>0.89985360330130715</v>
      </c>
      <c r="M76" s="54">
        <v>2042</v>
      </c>
      <c r="N76" s="52">
        <f t="shared" si="1"/>
        <v>0.89972779666496105</v>
      </c>
    </row>
  </sheetData>
  <mergeCells count="4">
    <mergeCell ref="A18:J18"/>
    <mergeCell ref="A4:I5"/>
    <mergeCell ref="M18:V18"/>
    <mergeCell ref="M4:U5"/>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T28"/>
  <sheetViews>
    <sheetView topLeftCell="F4" workbookViewId="0">
      <selection activeCell="E24" activeCellId="4" sqref="E5:E8 E10:E12 E14:E18 E20:E22 E24"/>
    </sheetView>
  </sheetViews>
  <sheetFormatPr baseColWidth="10" defaultColWidth="11" defaultRowHeight="16" x14ac:dyDescent="0.2"/>
  <cols>
    <col min="2" max="2" width="30.6640625" customWidth="1"/>
    <col min="3" max="3" width="20.1640625" bestFit="1" customWidth="1"/>
    <col min="4" max="4" width="17.83203125" bestFit="1" customWidth="1"/>
    <col min="6" max="6" width="11.1640625" customWidth="1"/>
    <col min="7" max="7" width="9.1640625" customWidth="1"/>
    <col min="8" max="8" width="8" customWidth="1"/>
    <col min="9" max="9" width="16.6640625" customWidth="1"/>
    <col min="10" max="10" width="27.5" bestFit="1" customWidth="1"/>
    <col min="11" max="11" width="3.33203125" customWidth="1"/>
    <col min="13" max="13" width="34.6640625" customWidth="1"/>
    <col min="14" max="14" width="27.5" bestFit="1" customWidth="1"/>
    <col min="15" max="15" width="2.83203125" customWidth="1"/>
    <col min="17" max="17" width="34.6640625" customWidth="1"/>
    <col min="18" max="18" width="27.5" bestFit="1" customWidth="1"/>
    <col min="20" max="20" width="20.33203125" bestFit="1" customWidth="1"/>
  </cols>
  <sheetData>
    <row r="1" spans="1:20" x14ac:dyDescent="0.2">
      <c r="A1" t="s">
        <v>287</v>
      </c>
    </row>
    <row r="2" spans="1:20" x14ac:dyDescent="0.2">
      <c r="I2" s="76"/>
    </row>
    <row r="3" spans="1:20" x14ac:dyDescent="0.2">
      <c r="A3" s="99" t="s">
        <v>43</v>
      </c>
      <c r="B3" s="99"/>
      <c r="C3" s="99"/>
      <c r="D3" s="99"/>
      <c r="E3" s="99"/>
      <c r="H3" s="99" t="s">
        <v>275</v>
      </c>
      <c r="I3" s="99"/>
      <c r="J3" s="99"/>
      <c r="K3" s="86"/>
      <c r="L3" s="99" t="s">
        <v>276</v>
      </c>
      <c r="M3" s="99"/>
      <c r="N3" s="99"/>
      <c r="P3" s="5" t="s">
        <v>277</v>
      </c>
      <c r="Q3" s="5"/>
      <c r="R3" s="5"/>
    </row>
    <row r="4" spans="1:20" ht="136" x14ac:dyDescent="0.2">
      <c r="A4" t="s">
        <v>38</v>
      </c>
      <c r="B4" t="s">
        <v>49</v>
      </c>
      <c r="C4" t="s">
        <v>40</v>
      </c>
      <c r="D4" t="s">
        <v>42</v>
      </c>
      <c r="E4" t="s">
        <v>318</v>
      </c>
      <c r="F4" s="11" t="s">
        <v>319</v>
      </c>
      <c r="G4" s="11" t="s">
        <v>326</v>
      </c>
      <c r="H4" t="s">
        <v>38</v>
      </c>
      <c r="I4" t="s">
        <v>45</v>
      </c>
      <c r="J4" s="15" t="s">
        <v>264</v>
      </c>
      <c r="K4" s="57"/>
      <c r="L4" t="s">
        <v>38</v>
      </c>
      <c r="M4" t="s">
        <v>45</v>
      </c>
      <c r="N4" s="15" t="s">
        <v>264</v>
      </c>
      <c r="P4" t="s">
        <v>38</v>
      </c>
      <c r="Q4" t="s">
        <v>45</v>
      </c>
      <c r="R4" s="15" t="s">
        <v>264</v>
      </c>
    </row>
    <row r="5" spans="1:20" x14ac:dyDescent="0.2">
      <c r="A5">
        <v>1996</v>
      </c>
      <c r="B5" s="8">
        <v>3709000</v>
      </c>
      <c r="C5" s="9">
        <v>2380274000</v>
      </c>
      <c r="D5">
        <f>(B5/(C5+B5))*100</f>
        <v>0.15557996848131886</v>
      </c>
      <c r="E5">
        <f>D5/0.1</f>
        <v>1.5557996848131885</v>
      </c>
      <c r="H5">
        <v>2018</v>
      </c>
      <c r="I5" s="3">
        <f>(0.1681*2018-329.39)/100</f>
        <v>9.8358000000000056E-2</v>
      </c>
      <c r="J5" s="15"/>
      <c r="K5" s="83"/>
      <c r="L5">
        <v>2018</v>
      </c>
      <c r="M5" s="3">
        <f>I5-(I5*$G$6)</f>
        <v>2.2505567379398253E-2</v>
      </c>
      <c r="P5">
        <v>2018</v>
      </c>
      <c r="Q5" s="3">
        <f>I5+(I5*$G$6)</f>
        <v>0.17421043262060187</v>
      </c>
      <c r="R5" s="3"/>
      <c r="T5" s="93"/>
    </row>
    <row r="6" spans="1:20" x14ac:dyDescent="0.2">
      <c r="A6">
        <v>1997</v>
      </c>
      <c r="B6" s="8">
        <v>11162000</v>
      </c>
      <c r="C6" s="9">
        <v>2688750000</v>
      </c>
      <c r="D6">
        <f t="shared" ref="D6:D24" si="0">(B6/(C6+B6))*100</f>
        <v>0.4134208818657793</v>
      </c>
      <c r="E6">
        <f t="shared" ref="E6:E24" si="1">D6/0.1</f>
        <v>4.1342088186577923</v>
      </c>
      <c r="F6">
        <f>STEYX(E5:E8:E10:E12:E14:E18:E20:E22:E24,A5:A8:A10:A12:A14:A18:A20:A22:A24)</f>
        <v>5.8503561726740561</v>
      </c>
      <c r="G6">
        <f>((F6/AVERAGE(E5:E8,E10:E12,E14:E18,E20:E22,E24)))</f>
        <v>0.77118722036440113</v>
      </c>
      <c r="H6">
        <v>2019</v>
      </c>
      <c r="I6" s="3">
        <f>(0.1681*2019-329.39)/100</f>
        <v>0.10003899999999988</v>
      </c>
      <c r="J6" s="89">
        <f>AVERAGE(E9,E13,E19,E23)/100-I6</f>
        <v>9.0455639858870535E-2</v>
      </c>
      <c r="K6" s="83"/>
      <c r="L6">
        <v>2019</v>
      </c>
      <c r="M6" s="3">
        <f>M5+0.00168</f>
        <v>2.4185567379398254E-2</v>
      </c>
      <c r="N6" s="93">
        <f>AVERAGE(E9,E13,E19,E23)/100-M6</f>
        <v>0.16630907247947216</v>
      </c>
      <c r="P6">
        <v>2019</v>
      </c>
      <c r="Q6" s="3">
        <f t="shared" ref="Q6:Q19" si="2">Q5+0.00168</f>
        <v>0.17589043262060186</v>
      </c>
      <c r="R6" s="92">
        <f>AVERAGE(E9,E13,E19,E23)/100-Q6</f>
        <v>1.4604207238268552E-2</v>
      </c>
      <c r="T6" s="93"/>
    </row>
    <row r="7" spans="1:20" x14ac:dyDescent="0.2">
      <c r="A7">
        <v>1998</v>
      </c>
      <c r="B7" s="8">
        <v>33097000</v>
      </c>
      <c r="C7" s="9">
        <v>2741014000</v>
      </c>
      <c r="D7">
        <f t="shared" si="0"/>
        <v>1.1930668960254294</v>
      </c>
      <c r="E7">
        <f t="shared" si="1"/>
        <v>11.930668960254293</v>
      </c>
      <c r="H7">
        <v>2020</v>
      </c>
      <c r="I7" s="3">
        <f>(0.1681*2020-329.39)/100</f>
        <v>0.10172000000000025</v>
      </c>
      <c r="J7" s="88"/>
      <c r="K7" s="83"/>
      <c r="L7">
        <v>2020</v>
      </c>
      <c r="M7" s="3">
        <f t="shared" ref="M7:M19" si="3">M6+0.00168</f>
        <v>2.5865567379398255E-2</v>
      </c>
      <c r="P7">
        <v>2020</v>
      </c>
      <c r="Q7" s="3">
        <f t="shared" si="2"/>
        <v>0.17757043262060185</v>
      </c>
      <c r="R7" s="3"/>
      <c r="T7" s="93"/>
    </row>
    <row r="8" spans="1:20" x14ac:dyDescent="0.2">
      <c r="A8">
        <v>1999</v>
      </c>
      <c r="B8" s="8">
        <v>19221000</v>
      </c>
      <c r="C8" s="9">
        <v>2653758000</v>
      </c>
      <c r="D8">
        <f t="shared" si="0"/>
        <v>0.71908533512608963</v>
      </c>
      <c r="E8">
        <f t="shared" si="1"/>
        <v>7.1908533512608956</v>
      </c>
      <c r="H8">
        <v>2021</v>
      </c>
      <c r="I8" s="3">
        <f>(0.1681*2021-329.39)/100</f>
        <v>0.10340100000000006</v>
      </c>
      <c r="J8" s="88"/>
      <c r="K8" s="83"/>
      <c r="L8">
        <v>2021</v>
      </c>
      <c r="M8" s="3">
        <f t="shared" si="3"/>
        <v>2.7545567379398256E-2</v>
      </c>
      <c r="P8">
        <v>2021</v>
      </c>
      <c r="Q8" s="3">
        <f t="shared" si="2"/>
        <v>0.17925043262060184</v>
      </c>
      <c r="R8" s="3"/>
      <c r="T8" s="93"/>
    </row>
    <row r="9" spans="1:20" x14ac:dyDescent="0.2">
      <c r="A9">
        <v>2000</v>
      </c>
      <c r="B9" s="8">
        <v>75764000</v>
      </c>
      <c r="C9" s="9">
        <v>2757810000</v>
      </c>
      <c r="D9">
        <f t="shared" si="0"/>
        <v>2.6737964139987169</v>
      </c>
      <c r="E9">
        <f t="shared" si="1"/>
        <v>26.737964139987167</v>
      </c>
      <c r="H9">
        <v>2022</v>
      </c>
      <c r="I9" s="3">
        <f>(0.1681*2022-329.39)/100</f>
        <v>0.10508199999999988</v>
      </c>
      <c r="J9" s="88"/>
      <c r="K9" s="83"/>
      <c r="L9">
        <v>2022</v>
      </c>
      <c r="M9" s="3">
        <f t="shared" si="3"/>
        <v>2.9225567379398257E-2</v>
      </c>
      <c r="P9">
        <v>2022</v>
      </c>
      <c r="Q9" s="3">
        <f t="shared" si="2"/>
        <v>0.18093043262060182</v>
      </c>
      <c r="R9" s="3"/>
      <c r="T9" s="93"/>
    </row>
    <row r="10" spans="1:20" x14ac:dyDescent="0.2">
      <c r="A10">
        <v>2001</v>
      </c>
      <c r="B10" s="8">
        <v>23387000</v>
      </c>
      <c r="C10" s="9">
        <v>2890682000</v>
      </c>
      <c r="D10">
        <f t="shared" si="0"/>
        <v>0.80255477821561527</v>
      </c>
      <c r="E10">
        <f t="shared" si="1"/>
        <v>8.0255477821561527</v>
      </c>
      <c r="H10">
        <v>2023</v>
      </c>
      <c r="I10" s="3">
        <f>(0.1681*2023-329.39)/100</f>
        <v>0.10676300000000026</v>
      </c>
      <c r="J10" s="88"/>
      <c r="K10" s="83"/>
      <c r="L10">
        <v>2023</v>
      </c>
      <c r="M10" s="3">
        <f t="shared" si="3"/>
        <v>3.0905567379398258E-2</v>
      </c>
      <c r="P10">
        <v>2023</v>
      </c>
      <c r="Q10" s="3">
        <f t="shared" si="2"/>
        <v>0.18261043262060181</v>
      </c>
      <c r="R10" s="3"/>
      <c r="T10" s="93"/>
    </row>
    <row r="11" spans="1:20" x14ac:dyDescent="0.2">
      <c r="A11">
        <v>2002</v>
      </c>
      <c r="B11" s="8">
        <v>28698000</v>
      </c>
      <c r="C11" s="9">
        <v>2756147000</v>
      </c>
      <c r="D11">
        <f t="shared" si="0"/>
        <v>1.0305061861611686</v>
      </c>
      <c r="E11">
        <f t="shared" si="1"/>
        <v>10.305061861611685</v>
      </c>
      <c r="H11">
        <v>2024</v>
      </c>
      <c r="I11" s="3">
        <f>(0.1681*2024-329.39)/100</f>
        <v>0.10844400000000007</v>
      </c>
      <c r="J11" s="88">
        <f>AVERAGE(E9,E13,E19,E23)/100-I11</f>
        <v>8.2050639858870345E-2</v>
      </c>
      <c r="K11" s="83"/>
      <c r="L11">
        <v>2024</v>
      </c>
      <c r="M11" s="3">
        <f t="shared" si="3"/>
        <v>3.2585567379398259E-2</v>
      </c>
      <c r="N11" s="3">
        <f>AVERAGE(E9,E13,E19,E23)/100-M11</f>
        <v>0.15790907247947217</v>
      </c>
      <c r="P11">
        <v>2024</v>
      </c>
      <c r="Q11" s="3">
        <f t="shared" si="2"/>
        <v>0.1842904326206018</v>
      </c>
      <c r="R11" s="3">
        <f>AVERAGE(E9,E13,E19,E23)/100-Q11</f>
        <v>6.2042072382686164E-3</v>
      </c>
      <c r="T11" s="93"/>
    </row>
    <row r="12" spans="1:20" x14ac:dyDescent="0.2">
      <c r="A12">
        <v>2003</v>
      </c>
      <c r="B12" s="8">
        <v>12421333</v>
      </c>
      <c r="C12" s="9">
        <v>2453845000</v>
      </c>
      <c r="D12">
        <f t="shared" si="0"/>
        <v>0.5036492950414857</v>
      </c>
      <c r="E12">
        <f t="shared" si="1"/>
        <v>5.036492950414857</v>
      </c>
      <c r="H12">
        <v>2025</v>
      </c>
      <c r="I12" s="3">
        <f>(0.1681*2025-329.39)/100</f>
        <v>0.11012499999999989</v>
      </c>
      <c r="J12" s="88"/>
      <c r="K12" s="83"/>
      <c r="L12">
        <v>2025</v>
      </c>
      <c r="M12" s="3">
        <f t="shared" si="3"/>
        <v>3.426556737939826E-2</v>
      </c>
      <c r="P12">
        <v>2025</v>
      </c>
      <c r="Q12" s="3">
        <f t="shared" si="2"/>
        <v>0.18597043262060178</v>
      </c>
      <c r="R12" s="3"/>
      <c r="T12" s="93"/>
    </row>
    <row r="13" spans="1:20" x14ac:dyDescent="0.2">
      <c r="A13">
        <v>2004</v>
      </c>
      <c r="B13" s="8">
        <v>42329000</v>
      </c>
      <c r="C13" s="10">
        <v>3123790000</v>
      </c>
      <c r="D13">
        <f t="shared" si="0"/>
        <v>1.3369364828043417</v>
      </c>
      <c r="E13">
        <f t="shared" si="1"/>
        <v>13.369364828043416</v>
      </c>
      <c r="H13">
        <v>2026</v>
      </c>
      <c r="I13" s="3">
        <f>(0.1681*2026-329.39)/100</f>
        <v>0.11180600000000027</v>
      </c>
      <c r="J13" s="88"/>
      <c r="K13" s="83"/>
      <c r="L13">
        <v>2026</v>
      </c>
      <c r="M13" s="3">
        <f t="shared" si="3"/>
        <v>3.5945567379398261E-2</v>
      </c>
      <c r="P13">
        <v>2026</v>
      </c>
      <c r="Q13" s="3">
        <f t="shared" si="2"/>
        <v>0.18765043262060177</v>
      </c>
      <c r="R13" s="3"/>
      <c r="T13" s="93"/>
    </row>
    <row r="14" spans="1:20" x14ac:dyDescent="0.2">
      <c r="A14">
        <v>2005</v>
      </c>
      <c r="B14" s="8">
        <v>19849000</v>
      </c>
      <c r="C14" s="10">
        <v>3068342000</v>
      </c>
      <c r="D14">
        <f t="shared" si="0"/>
        <v>0.64273874251948804</v>
      </c>
      <c r="E14">
        <f t="shared" si="1"/>
        <v>6.4273874251948797</v>
      </c>
      <c r="H14">
        <v>2027</v>
      </c>
      <c r="I14" s="3">
        <f>(0.1681*2027-329.39)/100</f>
        <v>0.11348700000000007</v>
      </c>
      <c r="J14" s="88"/>
      <c r="K14" s="83"/>
      <c r="L14">
        <v>2027</v>
      </c>
      <c r="M14" s="3">
        <f t="shared" si="3"/>
        <v>3.7625567379398261E-2</v>
      </c>
      <c r="P14">
        <v>2027</v>
      </c>
      <c r="Q14" s="3">
        <f t="shared" si="2"/>
        <v>0.18933043262060176</v>
      </c>
      <c r="R14" s="3"/>
      <c r="T14" s="93"/>
    </row>
    <row r="15" spans="1:20" x14ac:dyDescent="0.2">
      <c r="A15">
        <v>2006</v>
      </c>
      <c r="B15" s="8">
        <v>27320000</v>
      </c>
      <c r="C15" s="10">
        <v>3196726000</v>
      </c>
      <c r="D15">
        <f t="shared" si="0"/>
        <v>0.847382450498535</v>
      </c>
      <c r="E15">
        <f t="shared" si="1"/>
        <v>8.47382450498535</v>
      </c>
      <c r="H15">
        <v>2028</v>
      </c>
      <c r="I15" s="3">
        <f>(0.1681*2028-329.39)/100</f>
        <v>0.1151679999999999</v>
      </c>
      <c r="J15" s="88"/>
      <c r="K15" s="83"/>
      <c r="L15">
        <v>2028</v>
      </c>
      <c r="M15" s="3">
        <f t="shared" si="3"/>
        <v>3.9305567379398262E-2</v>
      </c>
      <c r="P15">
        <v>2028</v>
      </c>
      <c r="Q15" s="3">
        <f t="shared" si="2"/>
        <v>0.19101043262060174</v>
      </c>
      <c r="R15" s="3"/>
      <c r="T15" s="93"/>
    </row>
    <row r="16" spans="1:20" x14ac:dyDescent="0.2">
      <c r="A16">
        <v>2007</v>
      </c>
      <c r="B16" s="8">
        <v>22078000</v>
      </c>
      <c r="C16" s="10">
        <v>2677117000</v>
      </c>
      <c r="D16">
        <f t="shared" si="0"/>
        <v>0.81794757325795286</v>
      </c>
      <c r="E16">
        <f t="shared" si="1"/>
        <v>8.1794757325795278</v>
      </c>
      <c r="H16">
        <v>2029</v>
      </c>
      <c r="I16" s="3">
        <f>(0.1681*2029-329.39)/100</f>
        <v>0.11684900000000027</v>
      </c>
      <c r="J16" s="88">
        <f>AVERAGE(E9,E13,E19,E23)/100-I16</f>
        <v>7.3645639858870141E-2</v>
      </c>
      <c r="K16" s="83"/>
      <c r="L16">
        <v>2029</v>
      </c>
      <c r="M16" s="3">
        <f t="shared" si="3"/>
        <v>4.0985567379398263E-2</v>
      </c>
      <c r="N16" s="3">
        <f>AVERAGE(E9,E13,E19,E23)/100-M16</f>
        <v>0.14950907247947215</v>
      </c>
      <c r="P16">
        <v>2029</v>
      </c>
      <c r="Q16" s="3">
        <f t="shared" si="2"/>
        <v>0.19269043262060173</v>
      </c>
      <c r="R16" s="3">
        <f>AVERAGE(E9,E13,E19,E23)/100-Q16</f>
        <v>-2.1957927617313189E-3</v>
      </c>
      <c r="T16" s="93"/>
    </row>
    <row r="17" spans="1:20" x14ac:dyDescent="0.2">
      <c r="A17">
        <v>2008</v>
      </c>
      <c r="B17" s="8">
        <v>20412000</v>
      </c>
      <c r="C17" s="10">
        <v>2967007000</v>
      </c>
      <c r="D17">
        <f t="shared" si="0"/>
        <v>0.68326538727911956</v>
      </c>
      <c r="E17">
        <f t="shared" si="1"/>
        <v>6.8326538727911954</v>
      </c>
      <c r="H17">
        <v>2030</v>
      </c>
      <c r="I17" s="3">
        <f>(0.1681*2030-329.39)/100</f>
        <v>0.11853000000000008</v>
      </c>
      <c r="J17" s="15"/>
      <c r="K17" s="83"/>
      <c r="L17">
        <v>2030</v>
      </c>
      <c r="M17" s="3">
        <f t="shared" si="3"/>
        <v>4.2665567379398264E-2</v>
      </c>
      <c r="P17">
        <v>2030</v>
      </c>
      <c r="Q17" s="3">
        <f t="shared" si="2"/>
        <v>0.19437043262060172</v>
      </c>
      <c r="R17" s="3"/>
      <c r="T17" s="93"/>
    </row>
    <row r="18" spans="1:20" x14ac:dyDescent="0.2">
      <c r="A18">
        <v>2009</v>
      </c>
      <c r="B18" s="8">
        <v>34473000</v>
      </c>
      <c r="C18" s="10">
        <v>3360931000</v>
      </c>
      <c r="D18">
        <f t="shared" si="0"/>
        <v>1.0152841900404193</v>
      </c>
      <c r="E18">
        <f t="shared" si="1"/>
        <v>10.152841900404193</v>
      </c>
      <c r="H18">
        <v>2031</v>
      </c>
      <c r="I18" s="3">
        <f>(0.1681*2031-329.39)/100</f>
        <v>0.1202109999999999</v>
      </c>
      <c r="J18" s="15"/>
      <c r="K18" s="83"/>
      <c r="L18">
        <v>2031</v>
      </c>
      <c r="M18" s="3">
        <f t="shared" si="3"/>
        <v>4.4345567379398265E-2</v>
      </c>
      <c r="P18">
        <v>2031</v>
      </c>
      <c r="Q18" s="3">
        <f t="shared" si="2"/>
        <v>0.19605043262060171</v>
      </c>
      <c r="R18" s="3"/>
      <c r="T18" s="93"/>
    </row>
    <row r="19" spans="1:20" x14ac:dyDescent="0.2">
      <c r="A19">
        <v>2010</v>
      </c>
      <c r="B19" s="8">
        <v>70088000</v>
      </c>
      <c r="C19" s="10">
        <v>3331306000</v>
      </c>
      <c r="D19">
        <f t="shared" si="0"/>
        <v>2.0605669322636544</v>
      </c>
      <c r="E19">
        <f t="shared" si="1"/>
        <v>20.605669322636544</v>
      </c>
      <c r="H19">
        <v>2032</v>
      </c>
      <c r="I19" s="3">
        <f>(0.1681*2032-329.39)/100</f>
        <v>0.12189200000000028</v>
      </c>
      <c r="J19" s="15"/>
      <c r="K19" s="83"/>
      <c r="L19">
        <v>2032</v>
      </c>
      <c r="M19" s="3">
        <f t="shared" si="3"/>
        <v>4.6025567379398266E-2</v>
      </c>
      <c r="P19">
        <v>2032</v>
      </c>
      <c r="Q19" s="3">
        <f t="shared" si="2"/>
        <v>0.19773043262060169</v>
      </c>
      <c r="R19" s="3"/>
      <c r="T19" s="93"/>
    </row>
    <row r="20" spans="1:20" x14ac:dyDescent="0.2">
      <c r="A20">
        <v>2011</v>
      </c>
      <c r="B20" s="8">
        <v>21868264.513250005</v>
      </c>
      <c r="C20" s="10">
        <v>3097179000</v>
      </c>
      <c r="D20">
        <f t="shared" si="0"/>
        <v>0.70112001065372465</v>
      </c>
      <c r="E20">
        <f t="shared" si="1"/>
        <v>7.0112001065372462</v>
      </c>
      <c r="T20" s="93"/>
    </row>
    <row r="21" spans="1:20" x14ac:dyDescent="0.2">
      <c r="A21">
        <v>2012</v>
      </c>
      <c r="B21" s="8">
        <v>20417654</v>
      </c>
      <c r="C21" s="10">
        <v>3042044000</v>
      </c>
      <c r="D21">
        <f t="shared" si="0"/>
        <v>0.66670725405922093</v>
      </c>
      <c r="E21">
        <f t="shared" si="1"/>
        <v>6.6670725405922093</v>
      </c>
      <c r="M21" t="s">
        <v>278</v>
      </c>
      <c r="Q21" t="s">
        <v>279</v>
      </c>
    </row>
    <row r="22" spans="1:20" x14ac:dyDescent="0.2">
      <c r="A22">
        <v>2013</v>
      </c>
      <c r="B22" s="8">
        <v>28554330</v>
      </c>
      <c r="C22" s="10">
        <v>3357984000</v>
      </c>
      <c r="D22">
        <f t="shared" si="0"/>
        <v>0.84317161707719401</v>
      </c>
      <c r="E22">
        <f t="shared" si="1"/>
        <v>8.4317161707719404</v>
      </c>
      <c r="M22" t="s">
        <v>316</v>
      </c>
      <c r="N22">
        <v>3.9854438273259497E-2</v>
      </c>
      <c r="Q22" t="s">
        <v>317</v>
      </c>
      <c r="R22">
        <v>0.1082</v>
      </c>
    </row>
    <row r="23" spans="1:20" x14ac:dyDescent="0.2">
      <c r="A23">
        <v>2014</v>
      </c>
      <c r="B23" s="8">
        <v>61766881</v>
      </c>
      <c r="C23" s="10">
        <v>3927090000</v>
      </c>
      <c r="D23">
        <f t="shared" si="0"/>
        <v>1.5484857652881028</v>
      </c>
      <c r="E23">
        <f t="shared" si="1"/>
        <v>15.484857652881027</v>
      </c>
    </row>
    <row r="24" spans="1:20" x14ac:dyDescent="0.2">
      <c r="A24">
        <v>2015</v>
      </c>
      <c r="B24" s="8">
        <v>43766000</v>
      </c>
      <c r="C24" s="10">
        <v>3926339000</v>
      </c>
      <c r="D24">
        <f t="shared" si="0"/>
        <v>1.1023889796365587</v>
      </c>
      <c r="E24">
        <f t="shared" si="1"/>
        <v>11.023889796365586</v>
      </c>
    </row>
    <row r="26" spans="1:20" x14ac:dyDescent="0.2">
      <c r="B26" t="s">
        <v>41</v>
      </c>
      <c r="I26" t="s">
        <v>46</v>
      </c>
    </row>
    <row r="27" spans="1:20" x14ac:dyDescent="0.2">
      <c r="B27" t="s">
        <v>50</v>
      </c>
      <c r="I27" t="s">
        <v>47</v>
      </c>
    </row>
    <row r="28" spans="1:20" x14ac:dyDescent="0.2">
      <c r="B28" t="s">
        <v>51</v>
      </c>
      <c r="I28" t="s">
        <v>327</v>
      </c>
    </row>
  </sheetData>
  <mergeCells count="3">
    <mergeCell ref="A3:E3"/>
    <mergeCell ref="H3:J3"/>
    <mergeCell ref="L3:N3"/>
  </mergeCells>
  <pageMargins left="0.25" right="0.25" top="0.75" bottom="0.75" header="0.3" footer="0.3"/>
  <pageSetup scale="85" fitToWidth="2" orientation="landscape" horizontalDpi="4294967295" verticalDpi="4294967295"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33"/>
  <sheetViews>
    <sheetView topLeftCell="A13" workbookViewId="0">
      <selection activeCell="O42" sqref="O42"/>
    </sheetView>
  </sheetViews>
  <sheetFormatPr baseColWidth="10" defaultColWidth="11" defaultRowHeight="16" x14ac:dyDescent="0.2"/>
  <cols>
    <col min="2" max="2" width="19.5" customWidth="1"/>
    <col min="3" max="3" width="15.33203125" customWidth="1"/>
    <col min="4" max="4" width="15.83203125" bestFit="1" customWidth="1"/>
  </cols>
  <sheetData>
    <row r="1" spans="1:12" x14ac:dyDescent="0.2">
      <c r="A1" t="s">
        <v>289</v>
      </c>
    </row>
    <row r="3" spans="1:12" x14ac:dyDescent="0.2">
      <c r="A3" t="s">
        <v>229</v>
      </c>
      <c r="I3" s="76"/>
    </row>
    <row r="4" spans="1:12" x14ac:dyDescent="0.2">
      <c r="B4" s="80" t="s">
        <v>315</v>
      </c>
      <c r="I4" s="77"/>
    </row>
    <row r="5" spans="1:12" x14ac:dyDescent="0.2">
      <c r="J5" s="62"/>
    </row>
    <row r="6" spans="1:12" x14ac:dyDescent="0.2">
      <c r="A6" t="s">
        <v>220</v>
      </c>
    </row>
    <row r="7" spans="1:12" x14ac:dyDescent="0.2">
      <c r="B7" t="s">
        <v>221</v>
      </c>
      <c r="C7" t="s">
        <v>233</v>
      </c>
    </row>
    <row r="8" spans="1:12" x14ac:dyDescent="0.2">
      <c r="B8" t="s">
        <v>222</v>
      </c>
      <c r="C8" t="s">
        <v>234</v>
      </c>
    </row>
    <row r="9" spans="1:12" x14ac:dyDescent="0.2">
      <c r="B9" t="s">
        <v>223</v>
      </c>
      <c r="C9" s="57" t="s">
        <v>269</v>
      </c>
      <c r="I9" s="76"/>
    </row>
    <row r="10" spans="1:12" x14ac:dyDescent="0.2">
      <c r="B10" t="s">
        <v>224</v>
      </c>
      <c r="C10" t="s">
        <v>225</v>
      </c>
      <c r="I10" s="76"/>
    </row>
    <row r="11" spans="1:12" x14ac:dyDescent="0.2">
      <c r="B11" t="s">
        <v>226</v>
      </c>
      <c r="C11" t="s">
        <v>268</v>
      </c>
      <c r="I11" s="76"/>
    </row>
    <row r="12" spans="1:12" x14ac:dyDescent="0.2">
      <c r="B12" t="s">
        <v>227</v>
      </c>
      <c r="C12" t="s">
        <v>281</v>
      </c>
    </row>
    <row r="13" spans="1:12" x14ac:dyDescent="0.2">
      <c r="A13" s="76"/>
      <c r="B13" s="15" t="s">
        <v>265</v>
      </c>
      <c r="C13" s="15" t="s">
        <v>266</v>
      </c>
    </row>
    <row r="16" spans="1:12" ht="136" x14ac:dyDescent="0.2">
      <c r="A16" s="11"/>
      <c r="B16" s="11" t="s">
        <v>232</v>
      </c>
      <c r="C16" s="11" t="s">
        <v>231</v>
      </c>
      <c r="D16" s="11" t="s">
        <v>236</v>
      </c>
      <c r="E16" s="11" t="s">
        <v>236</v>
      </c>
      <c r="F16" s="11" t="s">
        <v>254</v>
      </c>
      <c r="G16" s="11" t="s">
        <v>255</v>
      </c>
      <c r="H16" s="11" t="s">
        <v>256</v>
      </c>
      <c r="I16" s="11" t="s">
        <v>312</v>
      </c>
      <c r="J16" s="11" t="s">
        <v>313</v>
      </c>
      <c r="K16" s="11" t="s">
        <v>314</v>
      </c>
      <c r="L16" s="11" t="s">
        <v>314</v>
      </c>
    </row>
    <row r="17" spans="1:12" x14ac:dyDescent="0.2">
      <c r="A17" t="s">
        <v>235</v>
      </c>
      <c r="B17" t="s">
        <v>297</v>
      </c>
      <c r="C17" t="s">
        <v>298</v>
      </c>
      <c r="D17" t="s">
        <v>298</v>
      </c>
      <c r="E17" t="s">
        <v>237</v>
      </c>
      <c r="F17" t="s">
        <v>237</v>
      </c>
      <c r="G17" t="s">
        <v>237</v>
      </c>
      <c r="H17" t="s">
        <v>237</v>
      </c>
      <c r="I17" t="s">
        <v>346</v>
      </c>
      <c r="J17" t="s">
        <v>297</v>
      </c>
      <c r="K17" t="s">
        <v>346</v>
      </c>
      <c r="L17" t="s">
        <v>347</v>
      </c>
    </row>
    <row r="18" spans="1:12" x14ac:dyDescent="0.2">
      <c r="A18" s="54">
        <v>2017.5</v>
      </c>
      <c r="B18" s="81">
        <f>(1-'Incidence Sensitivity'!M5-'Incidence Sensitivity'!N5)*'Soybean Prices and Production'!C7+'Incidence Sensitivity'!M5*(1-'Economic Surplus Parameters'!$C$7*(1-(1*('Adoption Path Sensitivity'!R24))))*'Soybean Prices and Production'!C7+('Incidence Sensitivity'!N5*(1-'Economic Surplus Parameters'!$C$7*(1-1*0))*'Soybean Prices and Production'!C7)</f>
        <v>4404060013.5077572</v>
      </c>
      <c r="C18" s="81">
        <f>(1-'Incidence Sensitivity'!M5-'Incidence Sensitivity'!N5)*'Soybean Prices and Production'!C7+'Incidence Sensitivity'!M5*(1-'Economic Surplus Parameters'!$C$7*(1-1*0))*'Soybean Prices and Production'!C7+('Incidence Sensitivity'!N5*(1-'Economic Surplus Parameters'!$C$7*(1-1*0))*'Soybean Prices and Production'!C7)</f>
        <v>4403455323.6140003</v>
      </c>
      <c r="D18" s="65">
        <f>B18-C18</f>
        <v>604689.89375686646</v>
      </c>
      <c r="E18" s="3">
        <f t="shared" ref="E18:E32" si="0">(B18-C18)/C18</f>
        <v>1.3732168247833744E-4</v>
      </c>
      <c r="F18" s="3">
        <f>B18/'Soybean Prices and Production'!C7</f>
        <v>0.99842666368346344</v>
      </c>
      <c r="G18" s="3">
        <f>C18/'Soybean Prices and Production'!C7</f>
        <v>0.99828957687916575</v>
      </c>
      <c r="H18" s="3">
        <f>F18-G18</f>
        <v>1.3708680429769249E-4</v>
      </c>
      <c r="I18">
        <f>D18*'Soybean Prices Sensitivity'!H7</f>
        <v>5641756.7087515639</v>
      </c>
      <c r="J18">
        <f>(1-G18)*'Soybean Prices and Production'!C7</f>
        <v>7544676.3859998677</v>
      </c>
      <c r="K18">
        <f>J18*'Soybean Prices Sensitivity'!H7</f>
        <v>70391830.681378767</v>
      </c>
      <c r="L18">
        <f>K18/1000000</f>
        <v>70.391830681378764</v>
      </c>
    </row>
    <row r="19" spans="1:12" x14ac:dyDescent="0.2">
      <c r="A19" s="54">
        <v>2018.5</v>
      </c>
      <c r="B19" s="97">
        <f>(1-'Incidence Sensitivity'!M6-'Incidence Sensitivity'!N6)*'Soybean Prices and Production'!C8+'Incidence Sensitivity'!M6*(1-'Economic Surplus Parameters'!$C$7*(1-(1*('Adoption Path Sensitivity'!R25))))*'Soybean Prices and Production'!C8+('Incidence Sensitivity'!N6*(1-'Economic Surplus Parameters'!$C$7*(1-1*0))*'Soybean Prices and Production'!C8)</f>
        <v>4623113521.3447342</v>
      </c>
      <c r="C19" s="97">
        <f>(1-'Incidence Sensitivity'!M6-'Incidence Sensitivity'!N6)*'Soybean Prices and Production'!C8+'Incidence Sensitivity'!M6*(1-'Economic Surplus Parameters'!$C$7*(1-1*0))*'Soybean Prices and Production'!C8+('Incidence Sensitivity'!N6*(1-'Economic Surplus Parameters'!$C$7*(1-1*0))*'Soybean Prices and Production'!C8)</f>
        <v>4622100090.5687046</v>
      </c>
      <c r="D19" s="82">
        <f t="shared" ref="D19:D32" si="1">B19-C19</f>
        <v>1013430.7760295868</v>
      </c>
      <c r="E19" s="98">
        <f>(B19-C19)/C19</f>
        <v>2.1925764396523356E-4</v>
      </c>
      <c r="F19" s="3">
        <f>B19/'Soybean Prices and Production'!C8</f>
        <v>0.98573849069184094</v>
      </c>
      <c r="G19" s="3">
        <f>C19/'Soybean Prices and Production'!C8</f>
        <v>0.98552240737072594</v>
      </c>
      <c r="H19" s="83">
        <f>F19-G19</f>
        <v>2.160833211150015E-4</v>
      </c>
      <c r="I19">
        <f>D19*'Soybean Prices Sensitivity'!H8</f>
        <v>6690886.6828088351</v>
      </c>
      <c r="J19">
        <f>(1-G19)*'Soybean Prices and Production'!C8</f>
        <v>67899909.43129535</v>
      </c>
      <c r="K19">
        <f>J19*'Soybean Prices Sensitivity'!H8</f>
        <v>448289720.93947601</v>
      </c>
      <c r="L19" s="95">
        <f t="shared" ref="L19:L32" si="2">K19/1000000</f>
        <v>448.28972093947601</v>
      </c>
    </row>
    <row r="20" spans="1:12" x14ac:dyDescent="0.2">
      <c r="A20" s="54">
        <v>2019.5</v>
      </c>
      <c r="B20" s="81">
        <f>(1-'Incidence Sensitivity'!M7-'Incidence Sensitivity'!N7)*'Soybean Prices and Production'!C9+'Incidence Sensitivity'!M7*(1-'Economic Surplus Parameters'!$C$7*(1-(1*('Adoption Path Sensitivity'!R26))))*'Soybean Prices and Production'!C9+('Incidence Sensitivity'!N7*(1-'Economic Surplus Parameters'!$C$7*(1-1*0))*'Soybean Prices and Production'!C9)</f>
        <v>4083317179.2365532</v>
      </c>
      <c r="C20" s="81">
        <f>(1-'Incidence Sensitivity'!M7-'Incidence Sensitivity'!N7)*'Soybean Prices and Production'!C9+'Incidence Sensitivity'!M7*(1-'Economic Surplus Parameters'!$C$7*(1-1*0))*'Soybean Prices and Production'!C9+('Incidence Sensitivity'!N7*(1-'Economic Surplus Parameters'!$C$7*(1-1*0))*'Soybean Prices and Production'!C9)</f>
        <v>4081959947.0357876</v>
      </c>
      <c r="D20" s="65">
        <f t="shared" si="1"/>
        <v>1357232.2007656097</v>
      </c>
      <c r="E20" s="3">
        <f t="shared" si="0"/>
        <v>3.3249522738487333E-4</v>
      </c>
      <c r="F20" s="3">
        <f>B20/'Soybean Prices and Production'!C9</f>
        <v>0.99836605849304483</v>
      </c>
      <c r="G20" s="3">
        <f>C20/'Soybean Prices and Production'!C9</f>
        <v>0.99803421687916571</v>
      </c>
      <c r="H20" s="3">
        <f t="shared" ref="H20:H32" si="3">F20-G20</f>
        <v>3.3184161387911359E-4</v>
      </c>
      <c r="I20">
        <f>D20*'Soybean Prices Sensitivity'!H9</f>
        <v>9117029.1311083566</v>
      </c>
      <c r="J20">
        <f>(1-G20)*'Soybean Prices and Production'!C9</f>
        <v>8040052.9642122285</v>
      </c>
      <c r="K20">
        <f>J20*'Soybean Prices Sensitivity'!H9</f>
        <v>54008000.288401589</v>
      </c>
      <c r="L20">
        <f t="shared" si="2"/>
        <v>54.00800028840159</v>
      </c>
    </row>
    <row r="21" spans="1:12" x14ac:dyDescent="0.2">
      <c r="A21" s="54">
        <v>2020.5</v>
      </c>
      <c r="B21" s="81">
        <f>(1-'Incidence Sensitivity'!M8-'Incidence Sensitivity'!N8)*'Soybean Prices and Production'!C10+'Incidence Sensitivity'!M8*(1-'Economic Surplus Parameters'!$C$7*(1-(1*('Adoption Path Sensitivity'!R27))))*'Soybean Prices and Production'!C10+('Incidence Sensitivity'!N8*(1-'Economic Surplus Parameters'!$C$7*(1-1*0))*'Soybean Prices and Production'!C10)</f>
        <v>4128383329.4800434</v>
      </c>
      <c r="C21" s="81">
        <f>(1-'Incidence Sensitivity'!M8-'Incidence Sensitivity'!N8)*'Soybean Prices and Production'!C10+'Incidence Sensitivity'!M8*(1-'Economic Surplus Parameters'!$C$7*(1-1*0))*'Soybean Prices and Production'!C10+('Incidence Sensitivity'!N8*(1-'Economic Surplus Parameters'!$C$7*(1-1*0))*'Soybean Prices and Production'!C10)</f>
        <v>4126343529.9953499</v>
      </c>
      <c r="D21" s="65">
        <f t="shared" si="1"/>
        <v>2039799.4846935272</v>
      </c>
      <c r="E21" s="3">
        <f t="shared" si="0"/>
        <v>4.9433583749529115E-4</v>
      </c>
      <c r="F21" s="3">
        <f>B21/'Soybean Prices and Production'!C10</f>
        <v>0.99839983784281583</v>
      </c>
      <c r="G21" s="3">
        <f>C21/'Soybean Prices and Production'!C10</f>
        <v>0.99790653687916564</v>
      </c>
      <c r="H21" s="3">
        <f t="shared" si="3"/>
        <v>4.9330096365018949E-4</v>
      </c>
      <c r="I21">
        <f>D21*'Soybean Prices Sensitivity'!H10</f>
        <v>14328466.293571308</v>
      </c>
      <c r="J21">
        <f>(1-G21)*'Soybean Prices and Production'!C10</f>
        <v>8656470.0046500787</v>
      </c>
      <c r="K21">
        <f>J21*'Soybean Prices Sensitivity'!H10</f>
        <v>60806927.15812476</v>
      </c>
      <c r="L21">
        <f t="shared" si="2"/>
        <v>60.806927158124758</v>
      </c>
    </row>
    <row r="22" spans="1:12" x14ac:dyDescent="0.2">
      <c r="A22" s="54">
        <v>2021.5</v>
      </c>
      <c r="B22" s="81">
        <f>(1-'Incidence Sensitivity'!M9-'Incidence Sensitivity'!N9)*'Soybean Prices and Production'!C11+'Incidence Sensitivity'!M9*(1-'Economic Surplus Parameters'!$C$7*(1-(1*('Adoption Path Sensitivity'!R28))))*'Soybean Prices and Production'!C11+('Incidence Sensitivity'!N9*(1-'Economic Surplus Parameters'!$C$7*(1-1*0))*'Soybean Prices and Production'!C11)</f>
        <v>4198624579.9299068</v>
      </c>
      <c r="C22" s="81">
        <f>(1-'Incidence Sensitivity'!M9-'Incidence Sensitivity'!N9)*'Soybean Prices and Production'!C11+'Incidence Sensitivity'!M9*(1-'Economic Surplus Parameters'!$C$7*(1-1*0))*'Soybean Prices and Production'!C11+('Incidence Sensitivity'!N9*(1-'Economic Surplus Parameters'!$C$7*(1-1*0))*'Soybean Prices and Production'!C11)</f>
        <v>4195660093.1768918</v>
      </c>
      <c r="D22" s="65">
        <f t="shared" si="1"/>
        <v>2964486.7530150414</v>
      </c>
      <c r="E22" s="3">
        <f t="shared" si="0"/>
        <v>7.0656027589937004E-4</v>
      </c>
      <c r="F22" s="3">
        <f>B22/'Soybean Prices and Production'!C11</f>
        <v>0.9984838477835688</v>
      </c>
      <c r="G22" s="3">
        <f>C22/'Soybean Prices and Production'!C11</f>
        <v>0.99777885687916568</v>
      </c>
      <c r="H22" s="3">
        <f t="shared" si="3"/>
        <v>7.049909044031244E-4</v>
      </c>
      <c r="I22">
        <f>D22*'Soybean Prices Sensitivity'!H11</f>
        <v>21734218.067448054</v>
      </c>
      <c r="J22">
        <f>(1-G22)*'Soybean Prices and Production'!C11</f>
        <v>9339906.8231083304</v>
      </c>
      <c r="K22">
        <f>J22*'Soybean Prices Sensitivity'!H11</f>
        <v>68475789.752349228</v>
      </c>
      <c r="L22">
        <f t="shared" si="2"/>
        <v>68.475789752349229</v>
      </c>
    </row>
    <row r="23" spans="1:12" x14ac:dyDescent="0.2">
      <c r="A23" s="54">
        <v>2022.5</v>
      </c>
      <c r="B23" s="81">
        <f>(1-'Incidence Sensitivity'!M10-'Incidence Sensitivity'!N10)*'Soybean Prices and Production'!C12+'Incidence Sensitivity'!M10*(1-'Economic Surplus Parameters'!$C$7*(1-(1*('Adoption Path Sensitivity'!R29))))*'Soybean Prices and Production'!C12+('Incidence Sensitivity'!N10*(1-'Economic Surplus Parameters'!$C$7*(1-1*0))*'Soybean Prices and Production'!C12)</f>
        <v>4264082517.0546141</v>
      </c>
      <c r="C23" s="81">
        <f>(1-'Incidence Sensitivity'!M10-'Incidence Sensitivity'!N10)*'Soybean Prices and Production'!C12+'Incidence Sensitivity'!M10*(1-'Economic Surplus Parameters'!$C$7*(1-1*0))*'Soybean Prices and Production'!C12+('Incidence Sensitivity'!N10*(1-'Economic Surplus Parameters'!$C$7*(1-1*0))*'Soybean Prices and Production'!C12)</f>
        <v>4259970525.2740374</v>
      </c>
      <c r="D23" s="65">
        <f t="shared" si="1"/>
        <v>4111991.7805767059</v>
      </c>
      <c r="E23" s="3">
        <f t="shared" si="0"/>
        <v>9.6526296512631105E-4</v>
      </c>
      <c r="F23" s="3">
        <f>B23/'Soybean Prices and Production'!C12</f>
        <v>0.99861417261232177</v>
      </c>
      <c r="G23" s="3">
        <f>C23/'Soybean Prices and Production'!C12</f>
        <v>0.99765117687916571</v>
      </c>
      <c r="H23" s="3">
        <f t="shared" si="3"/>
        <v>9.6299573315605791E-4</v>
      </c>
      <c r="I23">
        <f>D23*'Soybean Prices Sensitivity'!H12</f>
        <v>31409892.729884673</v>
      </c>
      <c r="J23">
        <f>(1-G23)*'Soybean Prices and Production'!C12</f>
        <v>10029474.725962404</v>
      </c>
      <c r="K23">
        <f>J23*'Soybean Prices Sensitivity'!H12</f>
        <v>76611224.460031986</v>
      </c>
      <c r="L23">
        <f t="shared" si="2"/>
        <v>76.611224460031991</v>
      </c>
    </row>
    <row r="24" spans="1:12" x14ac:dyDescent="0.2">
      <c r="A24" s="54">
        <v>2023.5</v>
      </c>
      <c r="B24" s="97">
        <f>(1-'Incidence Sensitivity'!M11-'Incidence Sensitivity'!N11)*'Soybean Prices and Production'!C13+'Incidence Sensitivity'!M11*(1-'Economic Surplus Parameters'!$C$7*(1-(1*('Adoption Path Sensitivity'!R30))))*'Soybean Prices and Production'!C13+'Incidence Sensitivity'!N11*(1-'Economic Surplus Parameters'!$C$7*(1-(1*(0))))*'Soybean Prices and Production'!C13</f>
        <v>4287540881.199636</v>
      </c>
      <c r="C24" s="97">
        <f>(1-'Incidence Sensitivity'!M11-'Incidence Sensitivity'!N11)*'Soybean Prices and Production'!C13+'Incidence Sensitivity'!M11*(1-'Economic Surplus Parameters'!$C$7*(1-1*0))*'Soybean Prices and Production'!C13+'Incidence Sensitivity'!N11*(1-'Economic Surplus Parameters'!$C$7*(1-(1*(0))))*'Soybean Prices and Production'!C13</f>
        <v>4282094860.025804</v>
      </c>
      <c r="D24" s="82">
        <f t="shared" si="1"/>
        <v>5446021.1738319397</v>
      </c>
      <c r="E24" s="98">
        <f>(B24-C24)/C24</f>
        <v>1.2718123609711724E-3</v>
      </c>
      <c r="F24" s="3">
        <f>B24/'Soybean Prices and Production'!C13</f>
        <v>0.9867758069504341</v>
      </c>
      <c r="G24" s="3">
        <f>C24/'Soybean Prices and Production'!C13</f>
        <v>0.98552240737072594</v>
      </c>
      <c r="H24" s="83">
        <f t="shared" si="3"/>
        <v>1.2533995797081587E-3</v>
      </c>
      <c r="I24">
        <f>D24*'Soybean Prices Sensitivity'!H13</f>
        <v>41390974.809574924</v>
      </c>
      <c r="J24">
        <f>(1-G24)*'Soybean Prices and Production'!C13</f>
        <v>62905139.974195793</v>
      </c>
      <c r="K24">
        <f>J24*'Soybean Prices Sensitivity'!H13</f>
        <v>478093085.01690954</v>
      </c>
      <c r="L24" s="95">
        <f t="shared" si="2"/>
        <v>478.09308501690953</v>
      </c>
    </row>
    <row r="25" spans="1:12" x14ac:dyDescent="0.2">
      <c r="A25" s="54">
        <v>2024.5</v>
      </c>
      <c r="B25" s="81">
        <f>(1-'Incidence Sensitivity'!M12-'Incidence Sensitivity'!N12)*'Soybean Prices and Production'!C14+'Incidence Sensitivity'!M12*(1-'Economic Surplus Parameters'!$C$7*(1-(1*('Adoption Path Sensitivity'!R31))))*'Soybean Prices and Production'!C14+('Incidence Sensitivity'!N12*(1-'Economic Surplus Parameters'!$C$7*(1-1*0))*'Soybean Prices and Production'!C14)</f>
        <v>4410370203.7615795</v>
      </c>
      <c r="C25" s="81">
        <f>(1-'Incidence Sensitivity'!M12-'Incidence Sensitivity'!N12)*'Soybean Prices and Production'!C14+'Incidence Sensitivity'!M12*(1-'Economic Surplus Parameters'!$C$7*(1-1*0))*'Soybean Prices and Production'!C14+('Incidence Sensitivity'!N12*(1-'Economic Surplus Parameters'!$C$7*(1-1*0))*'Soybean Prices and Production'!C14)</f>
        <v>4403502531.5215168</v>
      </c>
      <c r="D25" s="65">
        <f t="shared" si="1"/>
        <v>6867672.2400627136</v>
      </c>
      <c r="E25" s="3">
        <f t="shared" si="0"/>
        <v>1.5595931172747088E-3</v>
      </c>
      <c r="F25" s="3">
        <f>B25/'Soybean Prices and Production'!C14</f>
        <v>0.99895134853036904</v>
      </c>
      <c r="G25" s="3">
        <f>C25/'Soybean Prices and Production'!C14</f>
        <v>0.99739581687916579</v>
      </c>
      <c r="H25" s="3">
        <f t="shared" si="3"/>
        <v>1.5555316512032569E-3</v>
      </c>
      <c r="I25">
        <f>D25*'Soybean Prices Sensitivity'!H14</f>
        <v>47450763.446551785</v>
      </c>
      <c r="J25">
        <f>(1-G25)*'Soybean Prices and Production'!C14</f>
        <v>11497468.478483053</v>
      </c>
      <c r="K25">
        <f>J25*'Soybean Prices Sensitivity'!H14</f>
        <v>79439384.690510958</v>
      </c>
      <c r="L25">
        <f t="shared" si="2"/>
        <v>79.439384690510963</v>
      </c>
    </row>
    <row r="26" spans="1:12" x14ac:dyDescent="0.2">
      <c r="A26" s="54">
        <v>2025.5</v>
      </c>
      <c r="B26" s="81">
        <f>(1-'Incidence Sensitivity'!M13-'Incidence Sensitivity'!N13)*'Soybean Prices and Production'!C15+'Incidence Sensitivity'!M13*(1-'Economic Surplus Parameters'!$C$7*(1-(1*('Adoption Path Sensitivity'!R32))))*'Soybean Prices and Production'!C15+('Incidence Sensitivity'!N13*(1-'Economic Surplus Parameters'!$C$7*(1-1*0))*'Soybean Prices and Production'!C15)</f>
        <v>4486034969.0091724</v>
      </c>
      <c r="C26" s="81">
        <f>(1-'Incidence Sensitivity'!M13-'Incidence Sensitivity'!N13)*'Soybean Prices and Production'!C15+'Incidence Sensitivity'!M13*(1-'Economic Surplus Parameters'!$C$7*(1-1*0))*'Soybean Prices and Production'!C15+('Incidence Sensitivity'!N13*(1-'Economic Surplus Parameters'!$C$7*(1-1*0))*'Soybean Prices and Production'!C15)</f>
        <v>4477733934.5874548</v>
      </c>
      <c r="D26" s="65">
        <f t="shared" si="1"/>
        <v>8301034.4217176437</v>
      </c>
      <c r="E26" s="3">
        <f t="shared" si="0"/>
        <v>1.8538471787253343E-3</v>
      </c>
      <c r="F26" s="3">
        <f>B26/'Soybean Prices and Production'!C15</f>
        <v>0.99911691960115201</v>
      </c>
      <c r="G26" s="3">
        <f>C26/'Soybean Prices and Production'!C15</f>
        <v>0.99726813687916593</v>
      </c>
      <c r="H26" s="3">
        <f t="shared" si="3"/>
        <v>1.8487827219860753E-3</v>
      </c>
      <c r="I26">
        <f>D26*'Soybean Prices Sensitivity'!H15</f>
        <v>61496537.31847696</v>
      </c>
      <c r="J26">
        <f>(1-G26)*'Soybean Prices and Production'!C15</f>
        <v>12266065.412544956</v>
      </c>
      <c r="K26">
        <f>J26*'Soybean Prices Sensitivity'!H15</f>
        <v>90870668.771105632</v>
      </c>
      <c r="L26">
        <f t="shared" si="2"/>
        <v>90.870668771105628</v>
      </c>
    </row>
    <row r="27" spans="1:12" x14ac:dyDescent="0.2">
      <c r="A27" s="54">
        <v>2026.5</v>
      </c>
      <c r="B27" s="81">
        <f>(1-'Incidence Sensitivity'!M14-'Incidence Sensitivity'!N14)*'Soybean Prices and Production'!C16+'Incidence Sensitivity'!M14*(1-'Economic Surplus Parameters'!$C$7*(1-(1*('Adoption Path Sensitivity'!R33))))*'Soybean Prices and Production'!C16+('Incidence Sensitivity'!N14*(1-'Economic Surplus Parameters'!$C$7*(1-1*0))*'Soybean Prices and Production'!C16)</f>
        <v>4531640120.784893</v>
      </c>
      <c r="C27" s="81">
        <f>(1-'Incidence Sensitivity'!M14-'Incidence Sensitivity'!N14)*'Soybean Prices and Production'!C16+'Incidence Sensitivity'!M14*(1-'Economic Surplus Parameters'!$C$7*(1-1*0))*'Soybean Prices and Production'!C16+('Incidence Sensitivity'!N14*(1-'Economic Surplus Parameters'!$C$7*(1-1*0))*'Soybean Prices and Production'!C16)</f>
        <v>4522031971.9470167</v>
      </c>
      <c r="D27" s="65">
        <f t="shared" si="1"/>
        <v>9608148.8378763199</v>
      </c>
      <c r="E27" s="3">
        <f t="shared" si="0"/>
        <v>2.1247414652266188E-3</v>
      </c>
      <c r="F27" s="3">
        <f>B27/'Soybean Prices and Production'!C16</f>
        <v>0.99925912255455196</v>
      </c>
      <c r="G27" s="3">
        <f>C27/'Soybean Prices and Production'!C16</f>
        <v>0.99714045687916575</v>
      </c>
      <c r="H27" s="3">
        <f t="shared" si="3"/>
        <v>2.118665675386211E-3</v>
      </c>
      <c r="I27">
        <f>D27*'Soybean Prices Sensitivity'!H16</f>
        <v>69704796.736809</v>
      </c>
      <c r="J27">
        <f>(1-G27)*'Soybean Prices and Production'!C16</f>
        <v>12968028.052983331</v>
      </c>
      <c r="K27">
        <f>J27*'Soybean Prices Sensitivity'!H16</f>
        <v>94079908.082505882</v>
      </c>
      <c r="L27">
        <f t="shared" si="2"/>
        <v>94.079908082505881</v>
      </c>
    </row>
    <row r="28" spans="1:12" x14ac:dyDescent="0.2">
      <c r="A28" s="54">
        <v>2027.5</v>
      </c>
      <c r="B28" s="81">
        <f>(1-'Incidence Sensitivity'!M15-'Incidence Sensitivity'!N15)*'Soybean Prices and Production'!C17+'Incidence Sensitivity'!M15*(1-'Economic Surplus Parameters'!$C$7*(1-(1*('Adoption Path Sensitivity'!R34))))*'Soybean Prices and Production'!C17+('Incidence Sensitivity'!N15*(1-'Economic Surplus Parameters'!$C$7*(1-1*0))*'Soybean Prices and Production'!C17)</f>
        <v>4607103376.2775526</v>
      </c>
      <c r="C28" s="81">
        <f>(1-'Incidence Sensitivity'!M15-'Incidence Sensitivity'!N15)*'Soybean Prices and Production'!C17+'Incidence Sensitivity'!M15*(1-'Economic Surplus Parameters'!$C$7*(1-1*0))*'Soybean Prices and Production'!C17+('Incidence Sensitivity'!N15*(1-'Economic Surplus Parameters'!$C$7*(1-1*0))*'Soybean Prices and Production'!C17)</f>
        <v>4596228901.4129543</v>
      </c>
      <c r="D28" s="65">
        <f t="shared" si="1"/>
        <v>10874474.864598274</v>
      </c>
      <c r="E28" s="3">
        <f t="shared" si="0"/>
        <v>2.3659558951155124E-3</v>
      </c>
      <c r="F28" s="3">
        <f>B28/'Soybean Prices and Production'!C17</f>
        <v>0.99937166513612852</v>
      </c>
      <c r="G28" s="3">
        <f>C28/'Soybean Prices and Production'!C17</f>
        <v>0.99701277687916579</v>
      </c>
      <c r="H28" s="3">
        <f t="shared" si="3"/>
        <v>2.3588882569627323E-3</v>
      </c>
      <c r="I28">
        <f>D28*'Soybean Prices Sensitivity'!H17</f>
        <v>78891685.885238841</v>
      </c>
      <c r="J28">
        <f>(1-G28)*'Soybean Prices and Production'!C17</f>
        <v>13771098.587045731</v>
      </c>
      <c r="K28">
        <f>J28*'Soybean Prices Sensitivity'!H17</f>
        <v>99905990.638749152</v>
      </c>
      <c r="L28">
        <f t="shared" si="2"/>
        <v>99.905990638749159</v>
      </c>
    </row>
    <row r="29" spans="1:12" x14ac:dyDescent="0.2">
      <c r="A29" s="54">
        <v>2028.5</v>
      </c>
      <c r="B29" s="97">
        <f>(1-'Incidence Sensitivity'!M16-'Incidence Sensitivity'!N16)*'Soybean Prices and Production'!C18+'Incidence Sensitivity'!M16*(1-'Economic Surplus Parameters'!$C$7*(1-(1*('Adoption Path Sensitivity'!R35))))*'Soybean Prices and Production'!C18+'Incidence Sensitivity'!N16*(1-'Economic Surplus Parameters'!$C$7*(1-(1*(0))))*'Soybean Prices and Production'!C18</f>
        <v>4599569122.1160116</v>
      </c>
      <c r="C29" s="97">
        <f>(1-'Incidence Sensitivity'!M16-'Incidence Sensitivity'!N16)*'Soybean Prices and Production'!C18+'Incidence Sensitivity'!M16*(1-'Economic Surplus Parameters'!$C$7*(1-1*0))*'Soybean Prices and Production'!C18+'Incidence Sensitivity'!N16*(1-'Economic Surplus Parameters'!$C$7*(1-(1*(0))))*'Soybean Prices and Production'!C18</f>
        <v>4587606806.3107281</v>
      </c>
      <c r="D29" s="82">
        <f t="shared" si="1"/>
        <v>11962315.805283546</v>
      </c>
      <c r="E29" s="98">
        <f t="shared" si="0"/>
        <v>2.6075285677988232E-3</v>
      </c>
      <c r="F29" s="3">
        <f>B29/'Soybean Prices and Production'!C18</f>
        <v>0.9880921852021507</v>
      </c>
      <c r="G29" s="3">
        <f>C29/'Soybean Prices and Production'!C18</f>
        <v>0.98552240737072572</v>
      </c>
      <c r="H29" s="83">
        <f t="shared" si="3"/>
        <v>2.5697778314249797E-3</v>
      </c>
      <c r="I29">
        <f>D29*'Soybean Prices Sensitivity'!H18</f>
        <v>86783708.889037982</v>
      </c>
      <c r="J29">
        <f>(1-G29)*'Soybean Prices and Production'!C18</f>
        <v>67393193.689271793</v>
      </c>
      <c r="K29">
        <f>J29*'Soybean Prices Sensitivity'!H18</f>
        <v>488921325.72265619</v>
      </c>
      <c r="L29" s="95">
        <f t="shared" si="2"/>
        <v>488.92132572265621</v>
      </c>
    </row>
    <row r="30" spans="1:12" x14ac:dyDescent="0.2">
      <c r="A30" s="54">
        <v>2029.5</v>
      </c>
      <c r="B30" s="81">
        <f>(1-'Incidence Sensitivity'!M17-'Incidence Sensitivity'!N17)*'Soybean Prices and Production'!C19+'Incidence Sensitivity'!M17*(1-'Economic Surplus Parameters'!$C$7*(1-(1*('Adoption Path Sensitivity'!R36))))*'Soybean Prices and Production'!C19+('Incidence Sensitivity'!N17*(1-'Economic Surplus Parameters'!$C$7*(1-1*0))*'Soybean Prices and Production'!C19)</f>
        <v>4652731953.7261887</v>
      </c>
      <c r="C30" s="81">
        <f>(1-'Incidence Sensitivity'!M17-'Incidence Sensitivity'!N17)*'Soybean Prices and Production'!C19+'Incidence Sensitivity'!M17*(1-'Economic Surplus Parameters'!$C$7*(1-1*0))*'Soybean Prices and Production'!C19+('Incidence Sensitivity'!N17*(1-'Economic Surplus Parameters'!$C$7*(1-1*0))*'Soybean Prices and Production'!C19)</f>
        <v>4639905775.5725164</v>
      </c>
      <c r="D30" s="65">
        <f t="shared" si="1"/>
        <v>12826178.153672218</v>
      </c>
      <c r="E30" s="3">
        <f t="shared" si="0"/>
        <v>2.7643186681069187E-3</v>
      </c>
      <c r="F30" s="3">
        <f>B30/'Soybean Prices and Production'!C19</f>
        <v>0.99951277201421884</v>
      </c>
      <c r="G30" s="3">
        <f>C30/'Soybean Prices and Production'!C19</f>
        <v>0.99675741687916575</v>
      </c>
      <c r="H30" s="3">
        <f t="shared" si="3"/>
        <v>2.7553551350530947E-3</v>
      </c>
      <c r="I30">
        <f>D30*'Soybean Prices Sensitivity'!H19</f>
        <v>93050821.359823167</v>
      </c>
      <c r="J30">
        <f>(1-G30)*'Soybean Prices and Production'!C19</f>
        <v>15094224.427483445</v>
      </c>
      <c r="K30">
        <f>J30*'Soybean Prices Sensitivity'!H19</f>
        <v>109504948.70248742</v>
      </c>
      <c r="L30">
        <f t="shared" si="2"/>
        <v>109.50494870248743</v>
      </c>
    </row>
    <row r="31" spans="1:12" x14ac:dyDescent="0.2">
      <c r="A31" s="54">
        <v>2030.5</v>
      </c>
      <c r="B31" s="81">
        <f>(1-'Incidence Sensitivity'!M18-'Incidence Sensitivity'!N18)*'Soybean Prices and Production'!C20+'Incidence Sensitivity'!M18*(1-'Economic Surplus Parameters'!$C$7*(1-(1*('Adoption Path Sensitivity'!R37))))*'Soybean Prices and Production'!C20+('Incidence Sensitivity'!N18*(1-'Economic Surplus Parameters'!$C$7*(1-1*0))*'Soybean Prices and Production'!C20)</f>
        <v>4652908020.7673912</v>
      </c>
      <c r="C31" s="81">
        <f>(1-'Incidence Sensitivity'!M18-'Incidence Sensitivity'!N18)*'Soybean Prices and Production'!C20+'Incidence Sensitivity'!M18*(1-'Economic Surplus Parameters'!$C$7*(1-1*0))*'Soybean Prices and Production'!C20+('Incidence Sensitivity'!N18*(1-'Economic Surplus Parameters'!$C$7*(1-1*0))*'Soybean Prices and Production'!C20)</f>
        <v>4639311425.1725168</v>
      </c>
      <c r="D31" s="65">
        <f t="shared" si="1"/>
        <v>13596595.594874382</v>
      </c>
      <c r="E31" s="3">
        <f t="shared" si="0"/>
        <v>2.9307356951939869E-3</v>
      </c>
      <c r="F31" s="3">
        <f>B31/'Soybean Prices and Production'!C20</f>
        <v>0.99955059522392942</v>
      </c>
      <c r="G31" s="3">
        <f>C31/'Soybean Prices and Production'!C20</f>
        <v>0.99662973687916578</v>
      </c>
      <c r="H31" s="3">
        <f t="shared" si="3"/>
        <v>2.9208583447636327E-3</v>
      </c>
      <c r="I31">
        <f>D31*'Soybean Prices Sensitivity'!H20</f>
        <v>98640013.622310951</v>
      </c>
      <c r="J31">
        <f>(1-G31)*'Soybean Prices and Production'!C20</f>
        <v>15688574.827483276</v>
      </c>
      <c r="K31">
        <f>J31*'Soybean Prices Sensitivity'!H20</f>
        <v>113816817.15097687</v>
      </c>
      <c r="L31">
        <f t="shared" si="2"/>
        <v>113.81681715097686</v>
      </c>
    </row>
    <row r="32" spans="1:12" x14ac:dyDescent="0.2">
      <c r="A32" s="64">
        <v>2031.5</v>
      </c>
      <c r="B32" s="81">
        <f>(1-'Incidence Sensitivity'!M19-'Incidence Sensitivity'!N19)*'Soybean Prices and Production'!C21+'Incidence Sensitivity'!M19*(1-'Economic Surplus Parameters'!$C$7*(1-(1*('Adoption Path Sensitivity'!R38))))*'Soybean Prices and Production'!C21+('Incidence Sensitivity'!N19*(1-'Economic Surplus Parameters'!$C$7*(1-1*0))*'Soybean Prices and Production'!C21)</f>
        <v>4653013919.7852783</v>
      </c>
      <c r="C32" s="81">
        <f>(1-'Incidence Sensitivity'!M19-'Incidence Sensitivity'!N19)*'Soybean Prices and Production'!C21+'Incidence Sensitivity'!M19*(1-'Economic Surplus Parameters'!$C$7*(1-1*0))*'Soybean Prices and Production'!C21+('Incidence Sensitivity'!N19*(1-'Economic Surplus Parameters'!$C$7*(1-1*0))*'Soybean Prices and Production'!C21)</f>
        <v>4638717074.7725163</v>
      </c>
      <c r="D32" s="42">
        <f t="shared" si="1"/>
        <v>14296845.01276207</v>
      </c>
      <c r="E32" s="3">
        <f t="shared" si="0"/>
        <v>3.0820687664947083E-3</v>
      </c>
      <c r="F32" s="3">
        <f>B32/'Soybean Prices and Production'!C21</f>
        <v>0.99957334474442072</v>
      </c>
      <c r="G32" s="3">
        <f>C32/'Soybean Prices and Production'!C21</f>
        <v>0.99650205687916571</v>
      </c>
      <c r="H32" s="3">
        <f t="shared" si="3"/>
        <v>3.0712878652550124E-3</v>
      </c>
      <c r="I32">
        <f>D32*'Soybean Prices Sensitivity'!H21</f>
        <v>103720153.84105039</v>
      </c>
      <c r="J32">
        <f>(1-G32)*'Soybean Prices and Production'!C21</f>
        <v>16282925.227483621</v>
      </c>
      <c r="K32">
        <f>J32*'Soybean Prices Sensitivity'!H21</f>
        <v>118128685.59947003</v>
      </c>
      <c r="L32">
        <f t="shared" si="2"/>
        <v>118.12868559947003</v>
      </c>
    </row>
    <row r="33" spans="1:4" x14ac:dyDescent="0.2">
      <c r="A33" t="s">
        <v>141</v>
      </c>
      <c r="B33" s="65"/>
      <c r="C33" s="65"/>
      <c r="D33" s="65">
        <f>SUM(D18:D32)</f>
        <v>105870916.99351645</v>
      </c>
    </row>
  </sheetData>
  <pageMargins left="0.7" right="0.7" top="0.75" bottom="0.75" header="0.3" footer="0.3"/>
  <pageSetup orientation="portrait" horizontalDpi="4294967295" verticalDpi="4294967295"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R19"/>
  <sheetViews>
    <sheetView topLeftCell="E1" workbookViewId="0">
      <selection activeCell="N5" sqref="N5:N19"/>
    </sheetView>
  </sheetViews>
  <sheetFormatPr baseColWidth="10" defaultColWidth="11" defaultRowHeight="16" x14ac:dyDescent="0.2"/>
  <cols>
    <col min="11" max="11" width="13.6640625" bestFit="1" customWidth="1"/>
    <col min="12" max="12" width="15.1640625" bestFit="1" customWidth="1"/>
    <col min="13" max="13" width="15.83203125" bestFit="1" customWidth="1"/>
    <col min="14" max="14" width="15.1640625" bestFit="1" customWidth="1"/>
    <col min="15" max="16" width="15.83203125" bestFit="1" customWidth="1"/>
  </cols>
  <sheetData>
    <row r="1" spans="1:18" x14ac:dyDescent="0.2">
      <c r="A1" t="s">
        <v>291</v>
      </c>
    </row>
    <row r="2" spans="1:18" ht="19" x14ac:dyDescent="0.25">
      <c r="A2" s="102" t="s">
        <v>257</v>
      </c>
      <c r="B2" s="102"/>
      <c r="C2" s="102"/>
      <c r="D2" s="102"/>
      <c r="E2" s="102"/>
      <c r="F2" s="102"/>
      <c r="G2" s="102"/>
      <c r="H2" s="102"/>
      <c r="I2" s="102"/>
      <c r="J2" s="102"/>
      <c r="K2" s="102"/>
      <c r="L2" s="102"/>
      <c r="M2" s="102"/>
      <c r="N2" s="102"/>
      <c r="O2" s="102"/>
      <c r="P2" s="102"/>
      <c r="Q2" s="102"/>
      <c r="R2" s="102"/>
    </row>
    <row r="3" spans="1:18" ht="17" thickBot="1" x14ac:dyDescent="0.25">
      <c r="A3" s="66"/>
      <c r="B3" s="66"/>
      <c r="C3" s="66"/>
      <c r="D3" s="66"/>
      <c r="E3" s="66"/>
      <c r="F3" s="103" t="s">
        <v>238</v>
      </c>
      <c r="G3" s="103"/>
      <c r="H3" s="66"/>
      <c r="I3" s="66"/>
      <c r="J3" s="66"/>
      <c r="K3" s="66"/>
      <c r="L3" s="66"/>
      <c r="M3" s="66"/>
      <c r="N3" s="66"/>
      <c r="O3" s="66"/>
      <c r="P3" s="66"/>
      <c r="Q3" s="66"/>
      <c r="R3" s="66"/>
    </row>
    <row r="4" spans="1:18" ht="69" thickBot="1" x14ac:dyDescent="0.25">
      <c r="A4" s="67" t="s">
        <v>239</v>
      </c>
      <c r="B4" s="67" t="s">
        <v>240</v>
      </c>
      <c r="C4" s="67" t="s">
        <v>241</v>
      </c>
      <c r="D4" s="68" t="s">
        <v>242</v>
      </c>
      <c r="E4" s="68" t="s">
        <v>243</v>
      </c>
      <c r="F4" s="68" t="s">
        <v>244</v>
      </c>
      <c r="G4" s="68" t="s">
        <v>245</v>
      </c>
      <c r="H4" s="68" t="s">
        <v>246</v>
      </c>
      <c r="I4" s="67" t="s">
        <v>247</v>
      </c>
      <c r="J4" s="67" t="s">
        <v>248</v>
      </c>
      <c r="K4" s="67" t="s">
        <v>249</v>
      </c>
      <c r="L4" s="67" t="s">
        <v>250</v>
      </c>
      <c r="M4" s="67" t="s">
        <v>251</v>
      </c>
      <c r="N4" s="67" t="s">
        <v>252</v>
      </c>
      <c r="O4" s="67" t="s">
        <v>253</v>
      </c>
      <c r="P4" s="69"/>
      <c r="Q4" s="69"/>
    </row>
    <row r="5" spans="1:18" x14ac:dyDescent="0.2">
      <c r="A5" s="70">
        <v>2018</v>
      </c>
      <c r="B5" s="78">
        <v>0.3</v>
      </c>
      <c r="C5" s="78">
        <v>0.61099999999999999</v>
      </c>
      <c r="D5" s="75">
        <f>'Damage-Reduction Analysis Worse'!E18</f>
        <v>1.3732168247833744E-4</v>
      </c>
      <c r="E5" s="71">
        <f>D5/B5</f>
        <v>4.5773894159445818E-4</v>
      </c>
      <c r="F5" s="71">
        <f>'Seed Treatment Costs'!$E$63*('Adoption Path Sensitivity'!R24*'Incidence Sensitivity'!M5)</f>
        <v>5.1443443901996014E-5</v>
      </c>
      <c r="G5" s="71">
        <f>(F5/(1+D5))</f>
        <v>5.1436380571675323E-5</v>
      </c>
      <c r="H5" s="71">
        <f>(E5-G5)</f>
        <v>4.0630256102278285E-4</v>
      </c>
      <c r="I5" s="71">
        <f t="shared" ref="I5:I19" si="0">(H5)</f>
        <v>4.0630256102278285E-4</v>
      </c>
      <c r="J5" s="72">
        <f>'Soybean Prices Sensitivity'!H7*35.74</f>
        <v>333.45420000000001</v>
      </c>
      <c r="K5" s="72">
        <f>('Soybean Prices and Production'!C7/36.74)</f>
        <v>120059880.23952095</v>
      </c>
      <c r="L5" s="72">
        <f t="shared" ref="L5:L19" si="1">(I5*J5*K5*(1+0.5*I5*B5))</f>
        <v>16267099.569653131</v>
      </c>
      <c r="M5" s="73">
        <f>'Research and Outreach Costs'!E61</f>
        <v>1194761.7375</v>
      </c>
      <c r="N5" s="72">
        <f t="shared" ref="N5:N19" si="2">(L5-M5)</f>
        <v>15072337.83215313</v>
      </c>
      <c r="O5" s="72">
        <f>NPV(0.05,N5:N19)</f>
        <v>1311828209.4737816</v>
      </c>
      <c r="P5" s="69"/>
      <c r="Q5" s="69"/>
    </row>
    <row r="6" spans="1:18" x14ac:dyDescent="0.2">
      <c r="A6" s="70">
        <v>2019</v>
      </c>
      <c r="B6" s="78">
        <v>0.3</v>
      </c>
      <c r="C6" s="78">
        <v>0.61099999999999999</v>
      </c>
      <c r="D6" s="75">
        <f>'Damage-Reduction Analysis Worse'!E19</f>
        <v>2.1925764396523356E-4</v>
      </c>
      <c r="E6" s="71">
        <f t="shared" ref="E6:E19" si="3">D6/B6</f>
        <v>7.3085881321744523E-4</v>
      </c>
      <c r="F6" s="71">
        <f>'Seed Treatment Costs'!$E$63*('Adoption Path Sensitivity'!R25*'Incidence Sensitivity'!M6)</f>
        <v>8.1087820705238623E-5</v>
      </c>
      <c r="G6" s="71">
        <f>(F6/(1+D6))</f>
        <v>8.1070045478070943E-5</v>
      </c>
      <c r="H6" s="71">
        <f>(E6-G6)</f>
        <v>6.4978876773937435E-4</v>
      </c>
      <c r="I6" s="71">
        <f t="shared" si="0"/>
        <v>6.4978876773937435E-4</v>
      </c>
      <c r="J6" s="72">
        <f>'Soybean Prices Sensitivity'!H8*35.74</f>
        <v>235.96312219810301</v>
      </c>
      <c r="K6" s="72">
        <f>('Soybean Prices and Production'!C8/36.74)</f>
        <v>127653783.34240609</v>
      </c>
      <c r="L6" s="72">
        <f t="shared" si="1"/>
        <v>19574575.495018169</v>
      </c>
      <c r="M6" s="73">
        <f>'Research and Outreach Costs'!E62</f>
        <v>1959772.8384210526</v>
      </c>
      <c r="N6" s="72">
        <f>(L6-M6)</f>
        <v>17614802.656597115</v>
      </c>
      <c r="O6" s="72"/>
      <c r="P6" s="69"/>
      <c r="Q6" s="69"/>
    </row>
    <row r="7" spans="1:18" x14ac:dyDescent="0.2">
      <c r="A7" s="70">
        <v>2020</v>
      </c>
      <c r="B7" s="78">
        <v>0.3</v>
      </c>
      <c r="C7" s="78">
        <v>0.61099999999999999</v>
      </c>
      <c r="D7" s="75">
        <f>'Damage-Reduction Analysis Worse'!E20</f>
        <v>3.3249522738487333E-4</v>
      </c>
      <c r="E7" s="71">
        <f t="shared" si="3"/>
        <v>1.1083174246162444E-3</v>
      </c>
      <c r="F7" s="71">
        <f>'Seed Treatment Costs'!$E$63*('Adoption Path Sensitivity'!R26*'Incidence Sensitivity'!M7)</f>
        <v>1.2452748851647568E-4</v>
      </c>
      <c r="G7" s="71">
        <f>(F7/(1+D7))</f>
        <v>1.2448609748318677E-4</v>
      </c>
      <c r="H7" s="71">
        <f>(E7-G7)</f>
        <v>9.8383132713305774E-4</v>
      </c>
      <c r="I7" s="71">
        <f t="shared" si="0"/>
        <v>9.8383132713305774E-4</v>
      </c>
      <c r="J7" s="72">
        <f>'Soybean Prices Sensitivity'!H9*35.74</f>
        <v>240.07875805039552</v>
      </c>
      <c r="K7" s="72">
        <f>('Soybean Prices and Production'!C9/36.74)</f>
        <v>111322808.92759934</v>
      </c>
      <c r="L7" s="72">
        <f t="shared" si="1"/>
        <v>26297994.196786247</v>
      </c>
      <c r="M7" s="73">
        <f>'Research and Outreach Costs'!E63</f>
        <v>1959772.8384210526</v>
      </c>
      <c r="N7" s="72">
        <f t="shared" si="2"/>
        <v>24338221.358365193</v>
      </c>
      <c r="O7" s="72"/>
      <c r="P7" s="69"/>
      <c r="Q7" s="69"/>
    </row>
    <row r="8" spans="1:18" x14ac:dyDescent="0.2">
      <c r="A8" s="70">
        <v>2021</v>
      </c>
      <c r="B8" s="78">
        <v>0.3</v>
      </c>
      <c r="C8" s="78">
        <v>0.61099999999999999</v>
      </c>
      <c r="D8" s="75">
        <f>'Damage-Reduction Analysis Worse'!E21</f>
        <v>4.9433583749529115E-4</v>
      </c>
      <c r="E8" s="71">
        <f t="shared" si="3"/>
        <v>1.647786124984304E-3</v>
      </c>
      <c r="F8" s="71">
        <f>'Seed Treatment Costs'!$E$63*('Adoption Path Sensitivity'!R27*'Incidence Sensitivity'!M8)</f>
        <v>1.8511701823056164E-4</v>
      </c>
      <c r="G8" s="71">
        <f t="shared" ref="G8:G19" si="4">(F8/(1+D8))</f>
        <v>1.8502555346862969E-4</v>
      </c>
      <c r="H8" s="71">
        <f t="shared" ref="H8:H18" si="5">(E8-G8)</f>
        <v>1.4627605715156742E-3</v>
      </c>
      <c r="I8" s="71">
        <f t="shared" si="0"/>
        <v>1.4627605715156742E-3</v>
      </c>
      <c r="J8" s="72">
        <f>'Soybean Prices Sensitivity'!H10*35.74</f>
        <v>251.05378698984217</v>
      </c>
      <c r="K8" s="72">
        <f>('Soybean Prices and Production'!C10/36.74)</f>
        <v>112547632.00870985</v>
      </c>
      <c r="L8" s="72">
        <f t="shared" si="1"/>
        <v>41340113.446850114</v>
      </c>
      <c r="M8" s="73">
        <f>'Research and Outreach Costs'!E64</f>
        <v>1783970.3084210525</v>
      </c>
      <c r="N8" s="72">
        <f t="shared" si="2"/>
        <v>39556143.138429061</v>
      </c>
      <c r="O8" s="72"/>
      <c r="P8" s="69"/>
      <c r="Q8" s="69"/>
    </row>
    <row r="9" spans="1:18" x14ac:dyDescent="0.2">
      <c r="A9" s="70">
        <v>2022</v>
      </c>
      <c r="B9" s="78">
        <v>0.3</v>
      </c>
      <c r="C9" s="78">
        <v>0.61099999999999999</v>
      </c>
      <c r="D9" s="75">
        <f>'Damage-Reduction Analysis Worse'!E22</f>
        <v>7.0656027589937004E-4</v>
      </c>
      <c r="E9" s="71">
        <f>D9/B9</f>
        <v>2.3552009196645667E-3</v>
      </c>
      <c r="F9" s="71">
        <f>'Seed Treatment Costs'!$E$63*('Adoption Path Sensitivity'!R28*'Incidence Sensitivity'!M9)</f>
        <v>2.6455617101797712E-4</v>
      </c>
      <c r="G9" s="71">
        <f>(F9/(1+D9))</f>
        <v>2.6436937811723525E-4</v>
      </c>
      <c r="H9" s="71">
        <f>(E9-G9)</f>
        <v>2.0908315415473313E-3</v>
      </c>
      <c r="I9" s="71">
        <f t="shared" si="0"/>
        <v>2.0908315415473313E-3</v>
      </c>
      <c r="J9" s="72">
        <f>'Soybean Prices Sensitivity'!H11*35.74</f>
        <v>262.02881592928884</v>
      </c>
      <c r="K9" s="72">
        <f>('Soybean Prices and Production'!C11/36.74)</f>
        <v>114452912.35710397</v>
      </c>
      <c r="L9" s="72">
        <f t="shared" si="1"/>
        <v>62723622.118793868</v>
      </c>
      <c r="M9" s="73">
        <f>'Research and Outreach Costs'!E65</f>
        <v>1783970.3084210525</v>
      </c>
      <c r="N9" s="72">
        <f t="shared" si="2"/>
        <v>60939651.810372815</v>
      </c>
      <c r="O9" s="72"/>
      <c r="P9" s="69"/>
      <c r="Q9" s="69"/>
    </row>
    <row r="10" spans="1:18" x14ac:dyDescent="0.2">
      <c r="A10" s="70">
        <v>2023</v>
      </c>
      <c r="B10" s="78">
        <v>0.3</v>
      </c>
      <c r="C10" s="78">
        <v>0.61099999999999999</v>
      </c>
      <c r="D10" s="75">
        <f>'Damage-Reduction Analysis Worse'!E23</f>
        <v>9.6526296512631105E-4</v>
      </c>
      <c r="E10" s="71">
        <f>D10/B10</f>
        <v>3.2175432170877035E-3</v>
      </c>
      <c r="F10" s="71">
        <f>'Seed Treatment Costs'!$E$63*('Adoption Path Sensitivity'!R29*'Incidence Sensitivity'!M10)</f>
        <v>3.613755330448358E-4</v>
      </c>
      <c r="G10" s="71">
        <f t="shared" si="4"/>
        <v>3.610270470069511E-4</v>
      </c>
      <c r="H10" s="71">
        <f t="shared" si="5"/>
        <v>2.8565161700807523E-3</v>
      </c>
      <c r="I10" s="71">
        <f t="shared" si="0"/>
        <v>2.8565161700807523E-3</v>
      </c>
      <c r="J10" s="72">
        <f>'Soybean Prices Sensitivity'!H12*35.74</f>
        <v>273.00384486873548</v>
      </c>
      <c r="K10" s="72">
        <f>('Soybean Prices and Production'!C12/36.74)</f>
        <v>116222101.25204137</v>
      </c>
      <c r="L10" s="72">
        <f t="shared" si="1"/>
        <v>90673466.405132353</v>
      </c>
      <c r="M10" s="73">
        <f>'Research and Outreach Costs'!E66</f>
        <v>1783970.3084210525</v>
      </c>
      <c r="N10" s="72">
        <f t="shared" si="2"/>
        <v>88889496.096711308</v>
      </c>
      <c r="O10" s="72"/>
      <c r="P10" s="69"/>
      <c r="Q10" s="69"/>
    </row>
    <row r="11" spans="1:18" x14ac:dyDescent="0.2">
      <c r="A11" s="70">
        <v>2024</v>
      </c>
      <c r="B11" s="78">
        <v>0.3</v>
      </c>
      <c r="C11" s="78">
        <v>0.61099999999999999</v>
      </c>
      <c r="D11" s="75">
        <f>'Damage-Reduction Analysis Worse'!E24</f>
        <v>1.2718123609711724E-3</v>
      </c>
      <c r="E11" s="71">
        <f t="shared" si="3"/>
        <v>4.239374536570575E-3</v>
      </c>
      <c r="F11" s="71">
        <f>'Seed Treatment Costs'!$E$63*('Adoption Path Sensitivity'!R30*'Incidence Sensitivity'!M11)</f>
        <v>4.7035300950992883E-4</v>
      </c>
      <c r="G11" s="71">
        <f>(F11/(1+D11))</f>
        <v>4.6975556857118496E-4</v>
      </c>
      <c r="H11" s="71">
        <f t="shared" si="5"/>
        <v>3.76961896799939E-3</v>
      </c>
      <c r="I11" s="71">
        <f t="shared" si="0"/>
        <v>3.76961896799939E-3</v>
      </c>
      <c r="J11" s="72">
        <f>'Soybean Prices Sensitivity'!H13*35.74</f>
        <v>271.63196625130468</v>
      </c>
      <c r="K11" s="72">
        <f>('Soybean Prices and Production'!C13/36.74)</f>
        <v>118263473.05389221</v>
      </c>
      <c r="L11" s="72">
        <f>(I11*J11*K11*(1+0.5*I11*B11))</f>
        <v>121164239.15892291</v>
      </c>
      <c r="M11" s="73">
        <f>'Research and Outreach Costs'!E67</f>
        <v>1783970.3084210525</v>
      </c>
      <c r="N11" s="72">
        <f t="shared" si="2"/>
        <v>119380268.85050187</v>
      </c>
      <c r="O11" s="72"/>
      <c r="P11" s="69"/>
      <c r="Q11" s="69"/>
    </row>
    <row r="12" spans="1:18" x14ac:dyDescent="0.2">
      <c r="A12" s="70">
        <v>2025</v>
      </c>
      <c r="B12" s="78">
        <v>0.3</v>
      </c>
      <c r="C12" s="78">
        <v>0.61099999999999999</v>
      </c>
      <c r="D12" s="75">
        <f>'Damage-Reduction Analysis Worse'!E25</f>
        <v>1.5595931172747088E-3</v>
      </c>
      <c r="E12" s="71">
        <f t="shared" si="3"/>
        <v>5.1986437242490299E-3</v>
      </c>
      <c r="F12" s="71">
        <f>'Seed Treatment Costs'!$E$63*('Adoption Path Sensitivity'!R31*'Incidence Sensitivity'!M12)</f>
        <v>5.8373164103165775E-4</v>
      </c>
      <c r="G12" s="71">
        <f t="shared" si="4"/>
        <v>5.8282267479944894E-4</v>
      </c>
      <c r="H12" s="71">
        <f t="shared" si="5"/>
        <v>4.6158210494495807E-3</v>
      </c>
      <c r="I12" s="71">
        <f t="shared" si="0"/>
        <v>4.6158210494495807E-3</v>
      </c>
      <c r="J12" s="72">
        <f>'Soybean Prices Sensitivity'!H14*35.74</f>
        <v>246.93815113754971</v>
      </c>
      <c r="K12" s="72">
        <f>('Soybean Prices and Production'!C14/36.74)</f>
        <v>120168753.40228634</v>
      </c>
      <c r="L12" s="72">
        <f>(I12*J12*K12*(1+0.5*I12*B12))</f>
        <v>137065861.86806345</v>
      </c>
      <c r="M12" s="73">
        <f>'Research and Outreach Costs'!E68</f>
        <v>1783970.3084210525</v>
      </c>
      <c r="N12" s="72">
        <f t="shared" si="2"/>
        <v>135281891.5596424</v>
      </c>
      <c r="O12" s="72"/>
      <c r="P12" s="69"/>
      <c r="Q12" s="69"/>
    </row>
    <row r="13" spans="1:18" x14ac:dyDescent="0.2">
      <c r="A13" s="70">
        <v>2026</v>
      </c>
      <c r="B13" s="78">
        <v>0.3</v>
      </c>
      <c r="C13" s="78">
        <v>0.61099999999999999</v>
      </c>
      <c r="D13" s="75">
        <f>'Damage-Reduction Analysis Worse'!E26</f>
        <v>1.8538471787253343E-3</v>
      </c>
      <c r="E13" s="71">
        <f t="shared" si="3"/>
        <v>6.1794905957511144E-3</v>
      </c>
      <c r="F13" s="71">
        <f>'Seed Treatment Costs'!$E$63*('Adoption Path Sensitivity'!R32*'Incidence Sensitivity'!M13)</f>
        <v>6.9377757204819605E-4</v>
      </c>
      <c r="G13" s="71">
        <f t="shared" si="4"/>
        <v>6.9249379438119773E-4</v>
      </c>
      <c r="H13" s="71">
        <f t="shared" si="5"/>
        <v>5.4869968013699167E-3</v>
      </c>
      <c r="I13" s="71">
        <f t="shared" si="0"/>
        <v>5.4869968013699167E-3</v>
      </c>
      <c r="J13" s="72">
        <f>'Soybean Prices Sensitivity'!H15*35.74</f>
        <v>264.77257316415051</v>
      </c>
      <c r="K13" s="72">
        <f>('Soybean Prices and Production'!C15/36.74)</f>
        <v>122210125.20413718</v>
      </c>
      <c r="L13" s="72">
        <f t="shared" si="1"/>
        <v>177693765.67747864</v>
      </c>
      <c r="M13" s="73">
        <f>'Research and Outreach Costs'!E69</f>
        <v>1783970.3084210525</v>
      </c>
      <c r="N13" s="72">
        <f t="shared" si="2"/>
        <v>175909795.3690576</v>
      </c>
      <c r="O13" s="72"/>
      <c r="P13" s="69"/>
      <c r="Q13" s="69"/>
    </row>
    <row r="14" spans="1:18" x14ac:dyDescent="0.2">
      <c r="A14" s="70">
        <v>2027</v>
      </c>
      <c r="B14" s="78">
        <v>0.3</v>
      </c>
      <c r="C14" s="78">
        <v>0.61099999999999999</v>
      </c>
      <c r="D14" s="75">
        <f>'Damage-Reduction Analysis Worse'!E27</f>
        <v>2.1247414652266188E-3</v>
      </c>
      <c r="E14" s="71">
        <f t="shared" si="3"/>
        <v>7.0824715507553961E-3</v>
      </c>
      <c r="F14" s="71">
        <f>'Seed Treatment Costs'!$E$63*('Adoption Path Sensitivity'!R33*'Incidence Sensitivity'!M14)</f>
        <v>7.9505434076761932E-4</v>
      </c>
      <c r="G14" s="71">
        <f t="shared" si="4"/>
        <v>7.9336863752625696E-4</v>
      </c>
      <c r="H14" s="71">
        <f t="shared" si="5"/>
        <v>6.2891029132291394E-3</v>
      </c>
      <c r="I14" s="71">
        <f t="shared" si="0"/>
        <v>6.2891029132291394E-3</v>
      </c>
      <c r="J14" s="72">
        <f>'Soybean Prices Sensitivity'!H16*35.74</f>
        <v>259.28505869442716</v>
      </c>
      <c r="K14" s="72">
        <f>('Soybean Prices and Production'!C16/36.74)</f>
        <v>123434948.28524768</v>
      </c>
      <c r="L14" s="72">
        <f t="shared" si="1"/>
        <v>201471600.9316473</v>
      </c>
      <c r="M14" s="73">
        <f>'Research and Outreach Costs'!E70</f>
        <v>1783970.3084210525</v>
      </c>
      <c r="N14" s="72">
        <f t="shared" si="2"/>
        <v>199687630.62322626</v>
      </c>
      <c r="O14" s="72"/>
      <c r="P14" s="69"/>
      <c r="Q14" s="69"/>
    </row>
    <row r="15" spans="1:18" x14ac:dyDescent="0.2">
      <c r="A15" s="70">
        <v>2028</v>
      </c>
      <c r="B15" s="78">
        <v>0.3</v>
      </c>
      <c r="C15" s="78">
        <v>0.61099999999999999</v>
      </c>
      <c r="D15" s="75">
        <f>'Damage-Reduction Analysis Worse'!E28</f>
        <v>2.3659558951155124E-3</v>
      </c>
      <c r="E15" s="71">
        <f t="shared" si="3"/>
        <v>7.8865196503850425E-3</v>
      </c>
      <c r="F15" s="71">
        <f>'Seed Treatment Costs'!$E$63*('Adoption Path Sensitivity'!R34*'Incidence Sensitivity'!M15)</f>
        <v>8.8520070432642232E-4</v>
      </c>
      <c r="G15" s="71">
        <f t="shared" si="4"/>
        <v>8.8311130193556478E-4</v>
      </c>
      <c r="H15" s="71">
        <f t="shared" si="5"/>
        <v>7.0034083484494776E-3</v>
      </c>
      <c r="I15" s="71">
        <f t="shared" si="0"/>
        <v>7.0034083484494776E-3</v>
      </c>
      <c r="J15" s="72">
        <f>'Soybean Prices Sensitivity'!H17*35.74</f>
        <v>259.28505869442716</v>
      </c>
      <c r="K15" s="72">
        <f>('Soybean Prices and Production'!C17/36.74)</f>
        <v>125476320.08709852</v>
      </c>
      <c r="L15" s="72">
        <f t="shared" si="1"/>
        <v>228089191.61163607</v>
      </c>
      <c r="M15" s="73">
        <f>'Research and Outreach Costs'!E71</f>
        <v>1783970.3084210525</v>
      </c>
      <c r="N15" s="72">
        <f t="shared" si="2"/>
        <v>226305221.30321503</v>
      </c>
      <c r="O15" s="72"/>
      <c r="P15" s="69"/>
      <c r="Q15" s="69"/>
    </row>
    <row r="16" spans="1:18" x14ac:dyDescent="0.2">
      <c r="A16" s="70">
        <v>2029</v>
      </c>
      <c r="B16" s="78">
        <v>0.3</v>
      </c>
      <c r="C16" s="78">
        <v>0.61099999999999999</v>
      </c>
      <c r="D16" s="75">
        <f>'Damage-Reduction Analysis Worse'!E29</f>
        <v>2.6075285677988232E-3</v>
      </c>
      <c r="E16" s="71">
        <f t="shared" si="3"/>
        <v>8.691761892662745E-3</v>
      </c>
      <c r="F16" s="71">
        <f>'Seed Treatment Costs'!$E$63*('Adoption Path Sensitivity'!R35*'Incidence Sensitivity'!M16)</f>
        <v>9.6433951020157189E-4</v>
      </c>
      <c r="G16" s="71">
        <f t="shared" si="4"/>
        <v>9.6183150706947919E-4</v>
      </c>
      <c r="H16" s="71">
        <f t="shared" si="5"/>
        <v>7.729930385593266E-3</v>
      </c>
      <c r="I16" s="71">
        <f t="shared" si="0"/>
        <v>7.729930385593266E-3</v>
      </c>
      <c r="J16" s="72">
        <f>'Soybean Prices Sensitivity'!H18*35.74</f>
        <v>259.28505869442716</v>
      </c>
      <c r="K16" s="72">
        <f>('Soybean Prices and Production'!C18/36.74)</f>
        <v>126701143.16820903</v>
      </c>
      <c r="L16" s="72">
        <f t="shared" si="1"/>
        <v>254235899.65692389</v>
      </c>
      <c r="M16" s="73">
        <f>'Research and Outreach Costs'!E72</f>
        <v>1783970.3084210525</v>
      </c>
      <c r="N16" s="72">
        <f t="shared" si="2"/>
        <v>252451929.34850284</v>
      </c>
      <c r="O16" s="72"/>
      <c r="P16" s="69"/>
      <c r="Q16" s="69"/>
    </row>
    <row r="17" spans="1:17" x14ac:dyDescent="0.2">
      <c r="A17" s="70">
        <v>2030</v>
      </c>
      <c r="B17" s="78">
        <v>0.3</v>
      </c>
      <c r="C17" s="78">
        <v>0.61099999999999999</v>
      </c>
      <c r="D17" s="75">
        <f>'Damage-Reduction Analysis Worse'!E30</f>
        <v>2.7643186681069187E-3</v>
      </c>
      <c r="E17" s="71">
        <f t="shared" si="3"/>
        <v>9.2143955603563969E-3</v>
      </c>
      <c r="F17" s="71">
        <f>'Seed Treatment Costs'!$E$63*('Adoption Path Sensitivity'!R36*'Incidence Sensitivity'!M17)</f>
        <v>1.0339795872140282E-3</v>
      </c>
      <c r="G17" s="71">
        <f t="shared" si="4"/>
        <v>1.0311292174689482E-3</v>
      </c>
      <c r="H17" s="71">
        <f t="shared" si="5"/>
        <v>8.1832663428874491E-3</v>
      </c>
      <c r="I17" s="71">
        <f t="shared" si="0"/>
        <v>8.1832663428874491E-3</v>
      </c>
      <c r="J17" s="72">
        <f>'Soybean Prices Sensitivity'!H19*35.74</f>
        <v>259.28505869442716</v>
      </c>
      <c r="K17" s="72">
        <f>('Soybean Prices and Production'!C19/36.74)</f>
        <v>126701143.16820903</v>
      </c>
      <c r="L17" s="72">
        <f t="shared" si="1"/>
        <v>269164311.53265351</v>
      </c>
      <c r="M17" s="73">
        <f>'Research and Outreach Costs'!E73</f>
        <v>1783970.3084210525</v>
      </c>
      <c r="N17" s="72">
        <f t="shared" si="2"/>
        <v>267380341.22423247</v>
      </c>
      <c r="O17" s="72"/>
      <c r="P17" s="72"/>
      <c r="Q17" s="69"/>
    </row>
    <row r="18" spans="1:17" x14ac:dyDescent="0.2">
      <c r="A18" s="70">
        <v>2031</v>
      </c>
      <c r="B18" s="78">
        <v>0.3</v>
      </c>
      <c r="C18" s="78">
        <v>0.61099999999999999</v>
      </c>
      <c r="D18" s="75">
        <f>'Damage-Reduction Analysis Worse'!E31</f>
        <v>2.9307356951939869E-3</v>
      </c>
      <c r="E18" s="71">
        <f t="shared" si="3"/>
        <v>9.7691189839799568E-3</v>
      </c>
      <c r="F18" s="71">
        <f>'Seed Treatment Costs'!$E$63*('Adoption Path Sensitivity'!R37*'Incidence Sensitivity'!M18)</f>
        <v>1.0960866231753549E-3</v>
      </c>
      <c r="G18" s="71">
        <f t="shared" si="4"/>
        <v>1.0928836699930118E-3</v>
      </c>
      <c r="H18" s="71">
        <f t="shared" si="5"/>
        <v>8.676235313986945E-3</v>
      </c>
      <c r="I18" s="71">
        <f t="shared" si="0"/>
        <v>8.676235313986945E-3</v>
      </c>
      <c r="J18" s="72">
        <f>'Soybean Prices Sensitivity'!H20*35.74</f>
        <v>259.28505869442716</v>
      </c>
      <c r="K18" s="72">
        <f>('Soybean Prices and Production'!C20/36.74)</f>
        <v>126701143.16820903</v>
      </c>
      <c r="L18" s="72">
        <f t="shared" si="1"/>
        <v>285400142.48732531</v>
      </c>
      <c r="M18" s="73">
        <f>'Research and Outreach Costs'!E74</f>
        <v>1783970.3084210525</v>
      </c>
      <c r="N18" s="72">
        <f t="shared" si="2"/>
        <v>283616172.17890424</v>
      </c>
      <c r="O18" s="72"/>
      <c r="P18" s="72"/>
      <c r="Q18" s="69"/>
    </row>
    <row r="19" spans="1:17" x14ac:dyDescent="0.2">
      <c r="A19" s="70">
        <v>2032</v>
      </c>
      <c r="B19" s="78">
        <v>0.3</v>
      </c>
      <c r="C19" s="78">
        <v>0.61099999999999999</v>
      </c>
      <c r="D19" s="75">
        <f>'Damage-Reduction Analysis Worse'!E32</f>
        <v>3.0820687664947083E-3</v>
      </c>
      <c r="E19" s="71">
        <f t="shared" si="3"/>
        <v>1.0273562554982362E-2</v>
      </c>
      <c r="F19" s="71">
        <f>'Seed Treatment Costs'!$E$63*('Adoption Path Sensitivity'!R38*'Incidence Sensitivity'!M19)</f>
        <v>1.1525370790617169E-3</v>
      </c>
      <c r="G19" s="71">
        <f t="shared" si="4"/>
        <v>1.1489957950090856E-3</v>
      </c>
      <c r="H19" s="71">
        <f>(E19-G19)</f>
        <v>9.1245667599732759E-3</v>
      </c>
      <c r="I19" s="71">
        <f t="shared" si="0"/>
        <v>9.1245667599732759E-3</v>
      </c>
      <c r="J19" s="72">
        <f>'Soybean Prices Sensitivity'!H21*35.74</f>
        <v>259.28505869442716</v>
      </c>
      <c r="K19" s="72">
        <f>('Soybean Prices and Production'!C21/36.74)</f>
        <v>126701143.16820903</v>
      </c>
      <c r="L19" s="72">
        <f t="shared" si="1"/>
        <v>300167925.38343704</v>
      </c>
      <c r="M19" s="73">
        <f>'Research and Outreach Costs'!E75</f>
        <v>1783970.3084210525</v>
      </c>
      <c r="N19" s="72">
        <f t="shared" si="2"/>
        <v>298383955.07501596</v>
      </c>
      <c r="O19" s="72"/>
      <c r="P19" s="72"/>
      <c r="Q19" s="69"/>
    </row>
  </sheetData>
  <mergeCells count="2">
    <mergeCell ref="A2:R2"/>
    <mergeCell ref="F3:G3"/>
  </mergeCells>
  <pageMargins left="0.7" right="0.7" top="0.75" bottom="0.75" header="0.3" footer="0.3"/>
  <pageSetup orientation="portrait" horizontalDpi="4294967295" verticalDpi="4294967295"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L33"/>
  <sheetViews>
    <sheetView topLeftCell="A16" workbookViewId="0">
      <selection activeCell="R33" sqref="R33"/>
    </sheetView>
  </sheetViews>
  <sheetFormatPr baseColWidth="10" defaultColWidth="11" defaultRowHeight="16" x14ac:dyDescent="0.2"/>
  <cols>
    <col min="2" max="2" width="19.5" customWidth="1"/>
    <col min="3" max="3" width="15.33203125" customWidth="1"/>
    <col min="4" max="4" width="12.6640625" bestFit="1" customWidth="1"/>
  </cols>
  <sheetData>
    <row r="1" spans="1:12" x14ac:dyDescent="0.2">
      <c r="A1" t="s">
        <v>293</v>
      </c>
    </row>
    <row r="3" spans="1:12" x14ac:dyDescent="0.2">
      <c r="A3" t="s">
        <v>229</v>
      </c>
      <c r="I3" s="76"/>
    </row>
    <row r="4" spans="1:12" x14ac:dyDescent="0.2">
      <c r="B4" s="80" t="s">
        <v>280</v>
      </c>
      <c r="I4" s="77"/>
    </row>
    <row r="5" spans="1:12" x14ac:dyDescent="0.2">
      <c r="J5" s="62"/>
    </row>
    <row r="6" spans="1:12" x14ac:dyDescent="0.2">
      <c r="A6" t="s">
        <v>220</v>
      </c>
    </row>
    <row r="7" spans="1:12" x14ac:dyDescent="0.2">
      <c r="B7" t="s">
        <v>221</v>
      </c>
      <c r="C7" t="s">
        <v>233</v>
      </c>
    </row>
    <row r="8" spans="1:12" x14ac:dyDescent="0.2">
      <c r="B8" t="s">
        <v>222</v>
      </c>
      <c r="C8" t="s">
        <v>234</v>
      </c>
    </row>
    <row r="9" spans="1:12" x14ac:dyDescent="0.2">
      <c r="B9" t="s">
        <v>223</v>
      </c>
      <c r="C9" s="57" t="s">
        <v>269</v>
      </c>
      <c r="I9" s="76"/>
    </row>
    <row r="10" spans="1:12" x14ac:dyDescent="0.2">
      <c r="B10" t="s">
        <v>224</v>
      </c>
      <c r="C10" t="s">
        <v>225</v>
      </c>
      <c r="I10" s="76"/>
    </row>
    <row r="11" spans="1:12" x14ac:dyDescent="0.2">
      <c r="B11" t="s">
        <v>226</v>
      </c>
      <c r="C11" t="s">
        <v>268</v>
      </c>
      <c r="I11" s="76"/>
    </row>
    <row r="12" spans="1:12" x14ac:dyDescent="0.2">
      <c r="B12" t="s">
        <v>227</v>
      </c>
      <c r="C12" t="s">
        <v>228</v>
      </c>
    </row>
    <row r="13" spans="1:12" x14ac:dyDescent="0.2">
      <c r="A13" s="76"/>
      <c r="B13" s="15" t="s">
        <v>265</v>
      </c>
      <c r="C13" s="15" t="s">
        <v>266</v>
      </c>
    </row>
    <row r="14" spans="1:12" x14ac:dyDescent="0.2">
      <c r="A14" s="76"/>
      <c r="B14" s="15"/>
      <c r="C14" s="15"/>
    </row>
    <row r="16" spans="1:12" ht="136" x14ac:dyDescent="0.2">
      <c r="B16" s="11" t="s">
        <v>232</v>
      </c>
      <c r="C16" s="11" t="s">
        <v>231</v>
      </c>
      <c r="D16" s="11" t="s">
        <v>236</v>
      </c>
      <c r="E16" s="11" t="s">
        <v>236</v>
      </c>
      <c r="F16" s="11" t="s">
        <v>254</v>
      </c>
      <c r="G16" s="11" t="s">
        <v>255</v>
      </c>
      <c r="H16" s="11" t="s">
        <v>256</v>
      </c>
      <c r="I16" s="11" t="s">
        <v>312</v>
      </c>
      <c r="J16" s="11" t="s">
        <v>313</v>
      </c>
      <c r="K16" s="11" t="s">
        <v>314</v>
      </c>
      <c r="L16" s="11" t="s">
        <v>314</v>
      </c>
    </row>
    <row r="17" spans="1:12" x14ac:dyDescent="0.2">
      <c r="A17" t="s">
        <v>235</v>
      </c>
      <c r="B17" t="s">
        <v>297</v>
      </c>
      <c r="C17" t="s">
        <v>298</v>
      </c>
      <c r="D17" t="s">
        <v>298</v>
      </c>
      <c r="E17" t="s">
        <v>237</v>
      </c>
      <c r="F17" t="s">
        <v>237</v>
      </c>
      <c r="G17" t="s">
        <v>237</v>
      </c>
      <c r="H17" t="s">
        <v>237</v>
      </c>
      <c r="I17" t="s">
        <v>346</v>
      </c>
      <c r="J17" t="s">
        <v>297</v>
      </c>
      <c r="K17" t="s">
        <v>346</v>
      </c>
      <c r="L17" t="s">
        <v>347</v>
      </c>
    </row>
    <row r="18" spans="1:12" x14ac:dyDescent="0.2">
      <c r="A18" s="54">
        <v>2017.5</v>
      </c>
      <c r="B18" s="81">
        <f>(1-'Incidence Sensitivity'!Q5-'Incidence Sensitivity'!R5)*'Soybean Prices and Production'!C7+'Incidence Sensitivity'!Q5*(1-'Economic Surplus Parameters'!$C$7*(1-1*('Adoption Path Sensitivity'!D24)))*'Soybean Prices and Production'!C7+('Incidence Sensitivity'!R5*(1-'Economic Surplus Parameters'!$C$7*(1-1*0))*'Soybean Prices and Production'!C7)</f>
        <v>4357254193.0895195</v>
      </c>
      <c r="C18" s="81">
        <f>(1-'Incidence Sensitivity'!Q5-'Incidence Sensitivity'!R5)*'Soybean Prices and Production'!C7+'Incidence Sensitivity'!Q5*(1-'Economic Surplus Parameters'!$C$7*(1-1*0))*'Soybean Prices and Production'!C7+('Incidence Sensitivity'!R5*(1-'Economic Surplus Parameters'!$C$7*(1-1*0))*'Soybean Prices and Production'!C7)</f>
        <v>4352598391.4099998</v>
      </c>
      <c r="D18" s="65">
        <f>B18-C18</f>
        <v>4655801.6795196533</v>
      </c>
      <c r="E18" s="3">
        <f t="shared" ref="E18:E32" si="0">(B18-C18)/C18</f>
        <v>1.0696602950338895E-3</v>
      </c>
      <c r="F18" s="3">
        <f>B18/'Soybean Prices and Production'!C7</f>
        <v>0.98781550512117877</v>
      </c>
      <c r="G18" s="3">
        <f>C18/'Soybean Prices and Production'!C7</f>
        <v>0.98676000712083423</v>
      </c>
      <c r="H18" s="3">
        <f>F18-G18</f>
        <v>1.0554980003445458E-3</v>
      </c>
      <c r="I18">
        <f>D18*'Soybean Prices Sensitivity'!J7</f>
        <v>43438629.669918366</v>
      </c>
      <c r="J18">
        <f>(1-G18)*'Soybean Prices and Production'!C7</f>
        <v>58401608.590000227</v>
      </c>
      <c r="K18">
        <f>J18*'Soybean Prices Sensitivity'!J7</f>
        <v>544887008.14470208</v>
      </c>
      <c r="L18">
        <f>K18/1000000</f>
        <v>544.88700814470212</v>
      </c>
    </row>
    <row r="19" spans="1:12" x14ac:dyDescent="0.2">
      <c r="A19" s="54">
        <v>2018.5</v>
      </c>
      <c r="B19" s="97">
        <f>(1-'Incidence Sensitivity'!Q6-'Incidence Sensitivity'!R6)*'Soybean Prices and Production'!C8+'Incidence Sensitivity'!Q6*(1-'Economic Surplus Parameters'!$C$7*(1-1*('Adoption Path Sensitivity'!D25)))*'Soybean Prices and Production'!C8+('Incidence Sensitivity'!R6*(1-'Economic Surplus Parameters'!$C$7*(1-1*0))*'Soybean Prices and Production'!C8)</f>
        <v>4629598657.3650522</v>
      </c>
      <c r="C19" s="97">
        <f>(1-'Incidence Sensitivity'!Q6-'Incidence Sensitivity'!R6)*'Soybean Prices and Production'!C8+'Incidence Sensitivity'!Q6*(1-'Economic Surplus Parameters'!$C$7*(1-1*0))*'Soybean Prices and Production'!C8+('Incidence Sensitivity'!R6*(1-'Economic Surplus Parameters'!$C$7*(1-1*0))*'Soybean Prices and Production'!C8)</f>
        <v>4622100090.5687037</v>
      </c>
      <c r="D19" s="82">
        <f t="shared" ref="D19:D32" si="1">B19-C19</f>
        <v>7498566.7963485718</v>
      </c>
      <c r="E19" s="98">
        <f t="shared" si="0"/>
        <v>1.6223289520815953E-3</v>
      </c>
      <c r="F19" s="3">
        <f>B19/'Soybean Prices and Production'!C8</f>
        <v>0.98712124890512842</v>
      </c>
      <c r="G19" s="3">
        <f>C19/'Soybean Prices and Production'!C8</f>
        <v>0.98552240737072572</v>
      </c>
      <c r="H19" s="83">
        <f t="shared" ref="H19:H32" si="2">F19-G19</f>
        <v>1.5988415344027063E-3</v>
      </c>
      <c r="I19">
        <f>D19*'Soybean Prices Sensitivity'!J8</f>
        <v>79468207.507228002</v>
      </c>
      <c r="J19">
        <f>(1-G19)*'Soybean Prices and Production'!C8</f>
        <v>67899909.431296393</v>
      </c>
      <c r="K19">
        <f>J19*'Soybean Prices Sensitivity'!J8</f>
        <v>719588721.27881503</v>
      </c>
      <c r="L19" s="95">
        <f t="shared" ref="L19:L32" si="3">K19/1000000</f>
        <v>719.588721278815</v>
      </c>
    </row>
    <row r="20" spans="1:12" x14ac:dyDescent="0.2">
      <c r="A20" s="54">
        <v>2019.5</v>
      </c>
      <c r="B20" s="81">
        <f>(1-'Incidence Sensitivity'!Q7-'Incidence Sensitivity'!R7)*'Soybean Prices and Production'!C9+'Incidence Sensitivity'!Q7*(1-'Economic Surplus Parameters'!$C$7*(1-1*('Adoption Path Sensitivity'!D26)))*'Soybean Prices and Production'!C9+('Incidence Sensitivity'!R7*(1-'Economic Surplus Parameters'!$C$7*(1-1*0))*'Soybean Prices and Production'!C9)</f>
        <v>4044471625.9774437</v>
      </c>
      <c r="C20" s="81">
        <f>(1-'Incidence Sensitivity'!Q7-'Incidence Sensitivity'!R7)*'Soybean Prices and Production'!C9+'Incidence Sensitivity'!Q7*(1-'Economic Surplus Parameters'!$C$7*(1-1*0))*'Soybean Prices and Production'!C9+('Incidence Sensitivity'!R7*(1-'Economic Surplus Parameters'!$C$7*(1-1*0))*'Soybean Prices and Production'!C9)</f>
        <v>4034804006.7242122</v>
      </c>
      <c r="D20" s="65">
        <f t="shared" si="1"/>
        <v>9667619.2532315254</v>
      </c>
      <c r="E20" s="3">
        <f t="shared" si="0"/>
        <v>2.3960567197613396E-3</v>
      </c>
      <c r="F20" s="3">
        <f>B20/'Soybean Prices and Production'!C9</f>
        <v>0.98886836820964397</v>
      </c>
      <c r="G20" s="3">
        <f>C20/'Soybean Prices and Production'!C9</f>
        <v>0.9865046471208343</v>
      </c>
      <c r="H20" s="3">
        <f t="shared" si="2"/>
        <v>2.3637210888096671E-3</v>
      </c>
      <c r="I20">
        <f>D20*'Soybean Prices Sensitivity'!J9</f>
        <v>104242373.7636749</v>
      </c>
      <c r="J20">
        <f>(1-G20)*'Soybean Prices and Production'!C9</f>
        <v>55195993.275787719</v>
      </c>
      <c r="K20">
        <f>J20*'Soybean Prices Sensitivity'!J9</f>
        <v>595158043.62989175</v>
      </c>
      <c r="L20">
        <f t="shared" si="3"/>
        <v>595.15804362989172</v>
      </c>
    </row>
    <row r="21" spans="1:12" x14ac:dyDescent="0.2">
      <c r="A21" s="54">
        <v>2020.5</v>
      </c>
      <c r="B21" s="81">
        <f>(1-'Incidence Sensitivity'!Q8-'Incidence Sensitivity'!R8)*'Soybean Prices and Production'!C10+'Incidence Sensitivity'!Q8*(1-'Economic Surplus Parameters'!$C$7*(1-1*('Adoption Path Sensitivity'!D27)))*'Soybean Prices and Production'!C10+('Incidence Sensitivity'!R8*(1-'Economic Surplus Parameters'!$C$7*(1-1*0))*'Soybean Prices and Production'!C10)</f>
        <v>4092652400.2993722</v>
      </c>
      <c r="C21" s="81">
        <f>(1-'Incidence Sensitivity'!Q8-'Incidence Sensitivity'!R8)*'Soybean Prices and Production'!C10+'Incidence Sensitivity'!Q8*(1-'Economic Surplus Parameters'!$C$7*(1-1*0))*'Soybean Prices and Production'!C10+('Incidence Sensitivity'!R8*(1-'Economic Surplus Parameters'!$C$7*(1-1*0))*'Soybean Prices and Production'!C10)</f>
        <v>4078668759.0446501</v>
      </c>
      <c r="D21" s="65">
        <f t="shared" si="1"/>
        <v>13983641.254722118</v>
      </c>
      <c r="E21" s="3">
        <f t="shared" si="0"/>
        <v>3.4284817132336871E-3</v>
      </c>
      <c r="F21" s="3">
        <f>B21/'Soybean Prices and Production'!C10</f>
        <v>0.9897587425149631</v>
      </c>
      <c r="G21" s="3">
        <f>C21/'Soybean Prices and Production'!C10</f>
        <v>0.98637696712083434</v>
      </c>
      <c r="H21" s="3">
        <f t="shared" si="2"/>
        <v>3.3817753941287609E-3</v>
      </c>
      <c r="I21">
        <f>D21*'Soybean Prices Sensitivity'!J10</f>
        <v>157673268.06423023</v>
      </c>
      <c r="J21">
        <f>(1-G21)*'Soybean Prices and Production'!C10</f>
        <v>56331240.955350019</v>
      </c>
      <c r="K21">
        <f>J21*'Soybean Prices Sensitivity'!J10</f>
        <v>635165812.23394299</v>
      </c>
      <c r="L21">
        <f t="shared" si="3"/>
        <v>635.16581223394303</v>
      </c>
    </row>
    <row r="22" spans="1:12" x14ac:dyDescent="0.2">
      <c r="A22" s="54">
        <v>2021.5</v>
      </c>
      <c r="B22" s="81">
        <f>(1-'Incidence Sensitivity'!Q9-'Incidence Sensitivity'!R9)*'Soybean Prices and Production'!C11+'Incidence Sensitivity'!Q9*(1-'Economic Surplus Parameters'!$C$7*(1-1*('Adoption Path Sensitivity'!D28)))*'Soybean Prices and Production'!C11+('Incidence Sensitivity'!R9*(1-'Economic Surplus Parameters'!$C$7*(1-1*0))*'Soybean Prices and Production'!C11)</f>
        <v>4166697241.9507241</v>
      </c>
      <c r="C22" s="81">
        <f>(1-'Incidence Sensitivity'!Q9-'Incidence Sensitivity'!R9)*'Soybean Prices and Production'!C11+'Incidence Sensitivity'!Q9*(1-'Economic Surplus Parameters'!$C$7*(1-1*0))*'Soybean Prices and Production'!C11+('Incidence Sensitivity'!R9*(1-'Economic Surplus Parameters'!$C$7*(1-1*0))*'Soybean Prices and Production'!C11)</f>
        <v>4147178252.3431082</v>
      </c>
      <c r="D22" s="65">
        <f t="shared" si="1"/>
        <v>19518989.607615948</v>
      </c>
      <c r="E22" s="3">
        <f t="shared" si="0"/>
        <v>4.7065711719981992E-3</v>
      </c>
      <c r="F22" s="3">
        <f>B22/'Soybean Prices and Production'!C11</f>
        <v>0.99089113958400099</v>
      </c>
      <c r="G22" s="3">
        <f>C22/'Soybean Prices and Production'!C11</f>
        <v>0.98624928712083426</v>
      </c>
      <c r="H22" s="3">
        <f t="shared" si="2"/>
        <v>4.6418524631667291E-3</v>
      </c>
      <c r="I22">
        <f>D22*'Soybean Prices Sensitivity'!J11</f>
        <v>229708679.82052615</v>
      </c>
      <c r="J22">
        <f>(1-G22)*'Soybean Prices and Production'!C11</f>
        <v>57821747.656891927</v>
      </c>
      <c r="K22">
        <f>J22*'Soybean Prices Sensitivity'!J11</f>
        <v>680473609.86338115</v>
      </c>
      <c r="L22">
        <f t="shared" si="3"/>
        <v>680.47360986338117</v>
      </c>
    </row>
    <row r="23" spans="1:12" x14ac:dyDescent="0.2">
      <c r="A23" s="54">
        <v>2022.5</v>
      </c>
      <c r="B23" s="81">
        <f>(1-'Incidence Sensitivity'!Q10-'Incidence Sensitivity'!R10)*'Soybean Prices and Production'!C12+'Incidence Sensitivity'!Q10*(1-'Economic Surplus Parameters'!$C$7*(1-1*('Adoption Path Sensitivity'!D29)))*'Soybean Prices and Production'!C12+('Incidence Sensitivity'!R10*(1-'Economic Surplus Parameters'!$C$7*(1-1*0))*'Soybean Prices and Production'!C12)</f>
        <v>4236662216.3767018</v>
      </c>
      <c r="C23" s="81">
        <f>(1-'Incidence Sensitivity'!Q10-'Incidence Sensitivity'!R10)*'Soybean Prices and Production'!C12+'Incidence Sensitivity'!Q10*(1-'Economic Surplus Parameters'!$C$7*(1-1*0))*'Soybean Prices and Production'!C12+('Incidence Sensitivity'!R10*(1-'Economic Surplus Parameters'!$C$7*(1-1*0))*'Soybean Prices and Production'!C12)</f>
        <v>4210739262.405962</v>
      </c>
      <c r="D23" s="65">
        <f t="shared" si="1"/>
        <v>25922953.970739841</v>
      </c>
      <c r="E23" s="3">
        <f t="shared" si="0"/>
        <v>6.1563902097152888E-3</v>
      </c>
      <c r="F23" s="3">
        <f>B23/'Soybean Prices and Production'!C12</f>
        <v>0.99219255652850158</v>
      </c>
      <c r="G23" s="3">
        <f>C23/'Soybean Prices and Production'!C12</f>
        <v>0.98612160712083419</v>
      </c>
      <c r="H23" s="3">
        <f t="shared" si="2"/>
        <v>6.070949407667392E-3</v>
      </c>
      <c r="I23">
        <f>D23*'Soybean Prices Sensitivity'!J12</f>
        <v>317851504.09698331</v>
      </c>
      <c r="J23">
        <f>(1-G23)*'Soybean Prices and Production'!C12</f>
        <v>59260737.594038025</v>
      </c>
      <c r="K23">
        <f>J23*'Soybean Prices Sensitivity'!J12</f>
        <v>726619142.22517323</v>
      </c>
      <c r="L23">
        <f t="shared" si="3"/>
        <v>726.61914222517328</v>
      </c>
    </row>
    <row r="24" spans="1:12" x14ac:dyDescent="0.2">
      <c r="A24" s="54">
        <v>2023.5</v>
      </c>
      <c r="B24" s="97">
        <f>(1-'Incidence Sensitivity'!Q11-'Incidence Sensitivity'!R11)*'Soybean Prices and Production'!C13+'Incidence Sensitivity'!Q11*(1-'Economic Surplus Parameters'!$C$7*(1-1*('Adoption Path Sensitivity'!D30)))*'Soybean Prices and Production'!C13+'Incidence Sensitivity'!R11*(1-'Economic Surplus Parameters'!$C$7*(1-(1*(0))))*'Soybean Prices and Production'!C13</f>
        <v>4314869430.5789719</v>
      </c>
      <c r="C24" s="97">
        <f>(1-'Incidence Sensitivity'!Q11-'Incidence Sensitivity'!R11)*'Soybean Prices and Production'!C13+'Incidence Sensitivity'!Q11*(1-'Economic Surplus Parameters'!$C$7*(1-1*0))*'Soybean Prices and Production'!C13+'Incidence Sensitivity'!R11*(1-'Economic Surplus Parameters'!$C$7*(1-(1*(0))))*'Soybean Prices and Production'!C13</f>
        <v>4282094860.0258036</v>
      </c>
      <c r="D24" s="82">
        <f t="shared" si="1"/>
        <v>32774570.553168297</v>
      </c>
      <c r="E24" s="98">
        <f t="shared" si="0"/>
        <v>7.6538637336424631E-3</v>
      </c>
      <c r="F24" s="3">
        <f>B24/'Soybean Prices and Production'!C13</f>
        <v>0.99306546158319264</v>
      </c>
      <c r="G24" s="3">
        <f>C24/'Soybean Prices and Production'!C13</f>
        <v>0.98552240737072583</v>
      </c>
      <c r="H24" s="83">
        <f t="shared" si="2"/>
        <v>7.5430542124668154E-3</v>
      </c>
      <c r="I24">
        <f>D24*'Soybean Prices Sensitivity'!J13</f>
        <v>399842455.47541797</v>
      </c>
      <c r="J24">
        <f>(1-G24)*'Soybean Prices and Production'!C13</f>
        <v>62905139.974196278</v>
      </c>
      <c r="K24">
        <f>J24*'Soybean Prices Sensitivity'!J13</f>
        <v>767428686.47217309</v>
      </c>
      <c r="L24" s="95">
        <f t="shared" si="3"/>
        <v>767.42868647217313</v>
      </c>
    </row>
    <row r="25" spans="1:12" x14ac:dyDescent="0.2">
      <c r="A25" s="54">
        <v>2024.5</v>
      </c>
      <c r="B25" s="81">
        <f>(1-'Incidence Sensitivity'!Q12-'Incidence Sensitivity'!R12)*'Soybean Prices and Production'!C14+'Incidence Sensitivity'!Q12*(1-'Economic Surplus Parameters'!$C$7*(1-1*('Adoption Path Sensitivity'!D31)))*'Soybean Prices and Production'!C14+('Incidence Sensitivity'!R12*(1-'Economic Surplus Parameters'!$C$7*(1-1*0))*'Soybean Prices and Production'!C14)</f>
        <v>4391985261.6562023</v>
      </c>
      <c r="C25" s="81">
        <f>(1-'Incidence Sensitivity'!Q12-'Incidence Sensitivity'!R12)*'Soybean Prices and Production'!C14+'Incidence Sensitivity'!Q12*(1-'Economic Surplus Parameters'!$C$7*(1-1*0))*'Soybean Prices and Production'!C14+('Incidence Sensitivity'!R12*(1-'Economic Surplus Parameters'!$C$7*(1-1*0))*'Soybean Prices and Production'!C14)</f>
        <v>4352599481.0384836</v>
      </c>
      <c r="D25" s="65">
        <f t="shared" si="1"/>
        <v>39385780.617718697</v>
      </c>
      <c r="E25" s="3">
        <f t="shared" si="0"/>
        <v>9.0487950451902527E-3</v>
      </c>
      <c r="F25" s="3">
        <f>B25/'Soybean Prices and Production'!C14</f>
        <v>0.99478714873300167</v>
      </c>
      <c r="G25" s="3">
        <f>C25/'Soybean Prices and Production'!C14</f>
        <v>0.98586624712083437</v>
      </c>
      <c r="H25" s="3">
        <f t="shared" si="2"/>
        <v>8.9209016121672979E-3</v>
      </c>
      <c r="I25">
        <f>D25*'Soybean Prices Sensitivity'!J14</f>
        <v>436816131.50929481</v>
      </c>
      <c r="J25">
        <f>(1-G25)*'Soybean Prices and Production'!C14</f>
        <v>62400518.961516254</v>
      </c>
      <c r="K25">
        <f>J25*'Soybean Prices Sensitivity'!J14</f>
        <v>692065838.7225014</v>
      </c>
      <c r="L25">
        <f t="shared" si="3"/>
        <v>692.06583872250144</v>
      </c>
    </row>
    <row r="26" spans="1:12" x14ac:dyDescent="0.2">
      <c r="A26" s="54">
        <v>2025.5</v>
      </c>
      <c r="B26" s="81">
        <f>(1-'Incidence Sensitivity'!Q13-'Incidence Sensitivity'!R13)*'Soybean Prices and Production'!C15+'Incidence Sensitivity'!Q13*(1-'Economic Surplus Parameters'!$C$7*(1-1*('Adoption Path Sensitivity'!D32)))*'Soybean Prices and Production'!C15+('Incidence Sensitivity'!R13*(1-'Economic Surplus Parameters'!$C$7*(1-1*0))*'Soybean Prices and Production'!C15)</f>
        <v>4471336486.4086494</v>
      </c>
      <c r="C26" s="81">
        <f>(1-'Incidence Sensitivity'!Q13-'Incidence Sensitivity'!R13)*'Soybean Prices and Production'!C15+'Incidence Sensitivity'!Q13*(1-'Economic Surplus Parameters'!$C$7*(1-1*0))*'Soybean Prices and Production'!C15+('Incidence Sensitivity'!R13*(1-'Economic Surplus Parameters'!$C$7*(1-1*0))*'Soybean Prices and Production'!C15)</f>
        <v>4425966166.3725462</v>
      </c>
      <c r="D26" s="65">
        <f t="shared" si="1"/>
        <v>45370320.036103249</v>
      </c>
      <c r="E26" s="3">
        <f t="shared" si="0"/>
        <v>1.0250941451115535E-2</v>
      </c>
      <c r="F26" s="3">
        <f>B26/'Soybean Prices and Production'!C15</f>
        <v>0.99584331545849658</v>
      </c>
      <c r="G26" s="3">
        <f>C26/'Soybean Prices and Production'!C15</f>
        <v>0.9857385671208343</v>
      </c>
      <c r="H26" s="3">
        <f t="shared" si="2"/>
        <v>1.0104748337662284E-2</v>
      </c>
      <c r="I26">
        <f>D26*'Soybean Prices Sensitivity'!J15</f>
        <v>539530322.15733922</v>
      </c>
      <c r="J26">
        <f>(1-G26)*'Soybean Prices and Production'!C15</f>
        <v>64033833.627454005</v>
      </c>
      <c r="K26">
        <f>J26*'Soybean Prices Sensitivity'!J15</f>
        <v>761471262.67785037</v>
      </c>
      <c r="L26">
        <f t="shared" si="3"/>
        <v>761.4712626778504</v>
      </c>
    </row>
    <row r="27" spans="1:12" x14ac:dyDescent="0.2">
      <c r="A27" s="54">
        <v>2026.5</v>
      </c>
      <c r="B27" s="81">
        <f>(1-'Incidence Sensitivity'!Q14-'Incidence Sensitivity'!R14)*'Soybean Prices and Production'!C16+'Incidence Sensitivity'!Q14*(1-'Economic Surplus Parameters'!$C$7*(1-1*('Adoption Path Sensitivity'!D33)))*'Soybean Prices and Production'!C16+('Incidence Sensitivity'!R14*(1-'Economic Surplus Parameters'!$C$7*(1-1*0))*'Soybean Prices and Production'!C16)</f>
        <v>4519881081.2435083</v>
      </c>
      <c r="C27" s="81">
        <f>(1-'Incidence Sensitivity'!Q14-'Incidence Sensitivity'!R14)*'Soybean Prices and Production'!C16+'Incidence Sensitivity'!Q14*(1-'Economic Surplus Parameters'!$C$7*(1-1*0))*'Soybean Prices and Production'!C16+('Incidence Sensitivity'!R14*(1-'Economic Surplus Parameters'!$C$7*(1-1*0))*'Soybean Prices and Production'!C16)</f>
        <v>4469745373.0929832</v>
      </c>
      <c r="D27" s="65">
        <f t="shared" si="1"/>
        <v>50135708.150525093</v>
      </c>
      <c r="E27" s="3">
        <f t="shared" si="0"/>
        <v>1.1216681033405732E-2</v>
      </c>
      <c r="F27" s="3">
        <f>B27/'Soybean Prices and Production'!C16</f>
        <v>0.99666617006472069</v>
      </c>
      <c r="G27" s="3">
        <f>C27/'Soybean Prices and Production'!C16</f>
        <v>0.98561088712083422</v>
      </c>
      <c r="H27" s="3">
        <f t="shared" si="2"/>
        <v>1.1055282943886469E-2</v>
      </c>
      <c r="I27">
        <f>D27*'Soybean Prices Sensitivity'!J16</f>
        <v>583842443.34834993</v>
      </c>
      <c r="J27">
        <f>(1-G27)*'Soybean Prices and Production'!C16</f>
        <v>65254626.907016799</v>
      </c>
      <c r="K27">
        <f>J27*'Soybean Prices Sensitivity'!J16</f>
        <v>759905907.75725663</v>
      </c>
      <c r="L27">
        <f t="shared" si="3"/>
        <v>759.90590775725661</v>
      </c>
    </row>
    <row r="28" spans="1:12" x14ac:dyDescent="0.2">
      <c r="A28" s="54">
        <v>2027.5</v>
      </c>
      <c r="B28" s="81">
        <f>(1-'Incidence Sensitivity'!Q15-'Incidence Sensitivity'!R15)*'Soybean Prices and Production'!C17+'Incidence Sensitivity'!Q15*(1-'Economic Surplus Parameters'!$C$7*(1-1*('Adoption Path Sensitivity'!D34)))*'Soybean Prices and Production'!C17+('Incidence Sensitivity'!R15*(1-'Economic Surplus Parameters'!$C$7*(1-1*0))*'Soybean Prices and Production'!C17)</f>
        <v>4597402796.4023457</v>
      </c>
      <c r="C28" s="81">
        <f>(1-'Incidence Sensitivity'!Q15-'Incidence Sensitivity'!R15)*'Soybean Prices and Production'!C17+'Incidence Sensitivity'!Q15*(1-'Economic Surplus Parameters'!$C$7*(1-1*0))*'Soybean Prices and Production'!C17+('Incidence Sensitivity'!R15*(1-'Economic Surplus Parameters'!$C$7*(1-1*0))*'Soybean Prices and Production'!C17)</f>
        <v>4543077584.8270464</v>
      </c>
      <c r="D28" s="65">
        <f t="shared" si="1"/>
        <v>54325211.575299263</v>
      </c>
      <c r="E28" s="3">
        <f t="shared" si="0"/>
        <v>1.1957799654739422E-2</v>
      </c>
      <c r="F28" s="3">
        <f>B28/'Soybean Prices and Production'!C17</f>
        <v>0.99726741787469542</v>
      </c>
      <c r="G28" s="3">
        <f>C28/'Soybean Prices and Production'!C17</f>
        <v>0.98548320712083437</v>
      </c>
      <c r="H28" s="3">
        <f t="shared" si="2"/>
        <v>1.1784210753861046E-2</v>
      </c>
      <c r="I28">
        <f>D28*'Soybean Prices Sensitivity'!J17</f>
        <v>632630223.67834234</v>
      </c>
      <c r="J28">
        <f>(1-G28)*'Soybean Prices and Production'!C17</f>
        <v>66922415.172953553</v>
      </c>
      <c r="K28">
        <f>J28*'Soybean Prices Sensitivity'!J17</f>
        <v>779327705.35606098</v>
      </c>
      <c r="L28">
        <f t="shared" si="3"/>
        <v>779.32770535606096</v>
      </c>
    </row>
    <row r="29" spans="1:12" x14ac:dyDescent="0.2">
      <c r="A29" s="54">
        <v>2028.5</v>
      </c>
      <c r="B29" s="97">
        <f>(1-'Incidence Sensitivity'!Q16-'Incidence Sensitivity'!R16)*'Soybean Prices and Production'!C18+'Incidence Sensitivity'!Q16*(1-'Economic Surplus Parameters'!$C$7*(1-1*('Adoption Path Sensitivity'!D35)))*'Soybean Prices and Production'!C18+'Incidence Sensitivity'!R16*(1-'Economic Surplus Parameters'!$C$7*(1-(1*(0))))*'Soybean Prices and Production'!C18</f>
        <v>4645004159.8428411</v>
      </c>
      <c r="C29" s="97">
        <f>(1-'Incidence Sensitivity'!Q16-'Incidence Sensitivity'!R16)*'Soybean Prices and Production'!C18+'Incidence Sensitivity'!Q16*(1-'Economic Surplus Parameters'!$C$7*(1-1*0))*'Soybean Prices and Production'!C18+'Incidence Sensitivity'!R16*(1-'Economic Surplus Parameters'!$C$7*(1-(1*(0))))*'Soybean Prices and Production'!C18</f>
        <v>4587606806.310729</v>
      </c>
      <c r="D29" s="82">
        <f t="shared" si="1"/>
        <v>57397353.532112122</v>
      </c>
      <c r="E29" s="98">
        <f t="shared" si="0"/>
        <v>1.2511393403017039E-2</v>
      </c>
      <c r="F29" s="3">
        <f>B29/'Soybean Prices and Production'!C18</f>
        <v>0.99785266591682942</v>
      </c>
      <c r="G29" s="3">
        <f>C29/'Soybean Prices and Production'!C18</f>
        <v>0.98552240737072594</v>
      </c>
      <c r="H29" s="83">
        <f t="shared" si="2"/>
        <v>1.2330258546103479E-2</v>
      </c>
      <c r="I29">
        <f>D29*'Soybean Prices Sensitivity'!J18</f>
        <v>668406059.55550671</v>
      </c>
      <c r="J29">
        <f>(1-G29)*'Soybean Prices and Production'!C18</f>
        <v>67393193.68927075</v>
      </c>
      <c r="K29">
        <f>J29*'Soybean Prices Sensitivity'!J18</f>
        <v>784810035.00456846</v>
      </c>
      <c r="L29" s="95">
        <f t="shared" si="3"/>
        <v>784.81003500456848</v>
      </c>
    </row>
    <row r="30" spans="1:12" x14ac:dyDescent="0.2">
      <c r="A30" s="54">
        <v>2029.5</v>
      </c>
      <c r="B30" s="81">
        <f>(1-'Incidence Sensitivity'!Q17-'Incidence Sensitivity'!R17)*'Soybean Prices and Production'!C19+'Incidence Sensitivity'!Q17*(1-'Economic Surplus Parameters'!$C$7*(1-1*('Adoption Path Sensitivity'!D36)))*'Soybean Prices and Production'!C19+('Incidence Sensitivity'!R17*(1-'Economic Surplus Parameters'!$C$7*(1-1*0))*'Soybean Prices and Production'!C19)</f>
        <v>4645532888.9976149</v>
      </c>
      <c r="C30" s="81">
        <f>(1-'Incidence Sensitivity'!Q17-'Incidence Sensitivity'!R17)*'Soybean Prices and Production'!C19+'Incidence Sensitivity'!Q17*(1-'Economic Surplus Parameters'!$C$7*(1-1*0))*'Soybean Prices and Production'!C19+('Incidence Sensitivity'!R17*(1-'Economic Surplus Parameters'!$C$7*(1-1*0))*'Soybean Prices and Production'!C19)</f>
        <v>4586235628.3474836</v>
      </c>
      <c r="D30" s="65">
        <f t="shared" si="1"/>
        <v>59297260.650131226</v>
      </c>
      <c r="E30" s="3">
        <f t="shared" si="0"/>
        <v>1.2929396885675773E-2</v>
      </c>
      <c r="F30" s="3">
        <f>B30/'Soybean Prices and Production'!C19</f>
        <v>0.99796624897907948</v>
      </c>
      <c r="G30" s="3">
        <f>C30/'Soybean Prices and Production'!C19</f>
        <v>0.98522784712083433</v>
      </c>
      <c r="H30" s="3">
        <f t="shared" si="2"/>
        <v>1.2738401858245152E-2</v>
      </c>
      <c r="I30">
        <f>D30*'Soybean Prices Sensitivity'!J19</f>
        <v>690530937.30908</v>
      </c>
      <c r="J30">
        <f>(1-G30)*'Soybean Prices and Production'!C19</f>
        <v>68764371.652516186</v>
      </c>
      <c r="K30">
        <f>J30*'Soybean Prices Sensitivity'!J19</f>
        <v>800777733.91336</v>
      </c>
      <c r="L30">
        <f t="shared" si="3"/>
        <v>800.77773391335995</v>
      </c>
    </row>
    <row r="31" spans="1:12" x14ac:dyDescent="0.2">
      <c r="A31" s="54">
        <v>2030.5</v>
      </c>
      <c r="B31" s="81">
        <f>(1-'Incidence Sensitivity'!Q18-'Incidence Sensitivity'!R18)*'Soybean Prices and Production'!C20+'Incidence Sensitivity'!Q18*(1-'Economic Surplus Parameters'!$C$7*(1-1*('Adoption Path Sensitivity'!D37)))*'Soybean Prices and Production'!C20+('Incidence Sensitivity'!R18*(1-'Economic Surplus Parameters'!$C$7*(1-1*0))*'Soybean Prices and Production'!C20)</f>
        <v>4646381976.4946384</v>
      </c>
      <c r="C31" s="81">
        <f>(1-'Incidence Sensitivity'!Q18-'Incidence Sensitivity'!R18)*'Soybean Prices and Production'!C20+'Incidence Sensitivity'!Q18*(1-'Economic Surplus Parameters'!$C$7*(1-1*0))*'Soybean Prices and Production'!C20+('Incidence Sensitivity'!R18*(1-'Economic Surplus Parameters'!$C$7*(1-1*0))*'Soybean Prices and Production'!C20)</f>
        <v>4585641277.9474831</v>
      </c>
      <c r="D31" s="65">
        <f t="shared" si="1"/>
        <v>60740698.54715538</v>
      </c>
      <c r="E31" s="3">
        <f t="shared" si="0"/>
        <v>1.3245846080298437E-2</v>
      </c>
      <c r="F31" s="3">
        <f>B31/'Soybean Prices and Production'!C20</f>
        <v>0.99814865230819305</v>
      </c>
      <c r="G31" s="3">
        <f>C31/'Soybean Prices and Production'!C20</f>
        <v>0.98510016712083415</v>
      </c>
      <c r="H31" s="3">
        <f t="shared" si="2"/>
        <v>1.3048485187358905E-2</v>
      </c>
      <c r="I31">
        <f>D31*'Soybean Prices Sensitivity'!J20</f>
        <v>707340120.61791015</v>
      </c>
      <c r="J31">
        <f>(1-G31)*'Soybean Prices and Production'!C20</f>
        <v>69358722.052517042</v>
      </c>
      <c r="K31">
        <f>J31*'Soybean Prices Sensitivity'!J20</f>
        <v>807699088.02487934</v>
      </c>
      <c r="L31">
        <f t="shared" si="3"/>
        <v>807.6990880248793</v>
      </c>
    </row>
    <row r="32" spans="1:12" x14ac:dyDescent="0.2">
      <c r="A32" s="64">
        <v>2031.5</v>
      </c>
      <c r="B32" s="81">
        <f>(1-'Incidence Sensitivity'!Q19-'Incidence Sensitivity'!R19)*'Soybean Prices and Production'!C21+'Incidence Sensitivity'!Q19*(1-'Economic Surplus Parameters'!$C$7*(1-1*('Adoption Path Sensitivity'!D38)))*'Soybean Prices and Production'!C21+('Incidence Sensitivity'!R19*(1-'Economic Surplus Parameters'!$C$7*(1-1*0))*'Soybean Prices and Production'!C21)</f>
        <v>4646918629.2025042</v>
      </c>
      <c r="C32" s="81">
        <f>(1-'Incidence Sensitivity'!Q19-'Incidence Sensitivity'!R19)*'Soybean Prices and Production'!C21+'Incidence Sensitivity'!Q19*(1-'Economic Surplus Parameters'!$C$7*(1-1*0))*'Soybean Prices and Production'!C21+('Incidence Sensitivity'!R19*(1-'Economic Surplus Parameters'!$C$7*(1-1*0))*'Soybean Prices and Production'!C21)</f>
        <v>4585046927.5474834</v>
      </c>
      <c r="D32" s="42">
        <f t="shared" si="1"/>
        <v>61871701.655020714</v>
      </c>
      <c r="E32" s="3">
        <f t="shared" si="0"/>
        <v>1.3494235202542528E-2</v>
      </c>
      <c r="F32" s="3">
        <f>B32/'Soybean Prices and Production'!C21</f>
        <v>0.99826393753007603</v>
      </c>
      <c r="G32" s="3">
        <f>C32/'Soybean Prices and Production'!C21</f>
        <v>0.98497248712083429</v>
      </c>
      <c r="H32" s="3">
        <f t="shared" si="2"/>
        <v>1.3291450409241734E-2</v>
      </c>
      <c r="I32">
        <f>D32*'Soybean Prices Sensitivity'!J21</f>
        <v>720510925.26573002</v>
      </c>
      <c r="J32">
        <f>(1-G32)*'Soybean Prices and Production'!C21</f>
        <v>69953072.452516362</v>
      </c>
      <c r="K32">
        <f>J32*'Soybean Prices Sensitivity'!J21</f>
        <v>814620442.13638079</v>
      </c>
      <c r="L32">
        <f t="shared" si="3"/>
        <v>814.6204421363808</v>
      </c>
    </row>
    <row r="33" spans="1:4" x14ac:dyDescent="0.2">
      <c r="A33" t="s">
        <v>141</v>
      </c>
      <c r="B33" s="65"/>
      <c r="C33" s="65"/>
      <c r="D33" s="65">
        <f>SUM(D18:D32)</f>
        <v>542546177.8794117</v>
      </c>
    </row>
  </sheetData>
  <pageMargins left="0.7" right="0.7" top="0.75" bottom="0.75" header="0.3" footer="0.3"/>
  <pageSetup orientation="portrait" horizontalDpi="4294967295" verticalDpi="4294967295"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R19"/>
  <sheetViews>
    <sheetView topLeftCell="F1" workbookViewId="0">
      <selection activeCell="N5" sqref="N5:N19"/>
    </sheetView>
  </sheetViews>
  <sheetFormatPr baseColWidth="10" defaultColWidth="11" defaultRowHeight="16" x14ac:dyDescent="0.2"/>
  <cols>
    <col min="11" max="11" width="13.6640625" bestFit="1" customWidth="1"/>
    <col min="12" max="12" width="16.83203125" customWidth="1"/>
    <col min="13" max="13" width="15.83203125" bestFit="1" customWidth="1"/>
    <col min="14" max="14" width="16.5" customWidth="1"/>
    <col min="15" max="16" width="15.83203125" bestFit="1" customWidth="1"/>
  </cols>
  <sheetData>
    <row r="1" spans="1:18" x14ac:dyDescent="0.2">
      <c r="A1" t="s">
        <v>282</v>
      </c>
    </row>
    <row r="2" spans="1:18" ht="19" x14ac:dyDescent="0.25">
      <c r="A2" s="102" t="s">
        <v>257</v>
      </c>
      <c r="B2" s="102"/>
      <c r="C2" s="102"/>
      <c r="D2" s="102"/>
      <c r="E2" s="102"/>
      <c r="F2" s="102"/>
      <c r="G2" s="102"/>
      <c r="H2" s="102"/>
      <c r="I2" s="102"/>
      <c r="J2" s="102"/>
      <c r="K2" s="102"/>
      <c r="L2" s="102"/>
      <c r="M2" s="102"/>
      <c r="N2" s="102"/>
      <c r="O2" s="102"/>
      <c r="P2" s="102"/>
      <c r="Q2" s="102"/>
      <c r="R2" s="102"/>
    </row>
    <row r="3" spans="1:18" ht="17" thickBot="1" x14ac:dyDescent="0.25">
      <c r="A3" s="66"/>
      <c r="B3" s="66"/>
      <c r="C3" s="66"/>
      <c r="D3" s="66"/>
      <c r="E3" s="66"/>
      <c r="F3" s="103" t="s">
        <v>238</v>
      </c>
      <c r="G3" s="103"/>
      <c r="H3" s="66"/>
      <c r="I3" s="66"/>
      <c r="J3" s="66"/>
      <c r="K3" s="66"/>
      <c r="L3" s="66"/>
      <c r="M3" s="66"/>
      <c r="N3" s="66"/>
      <c r="O3" s="66"/>
      <c r="P3" s="66"/>
      <c r="Q3" s="66"/>
      <c r="R3" s="66"/>
    </row>
    <row r="4" spans="1:18" ht="69" thickBot="1" x14ac:dyDescent="0.25">
      <c r="A4" s="67" t="s">
        <v>239</v>
      </c>
      <c r="B4" s="67" t="s">
        <v>240</v>
      </c>
      <c r="C4" s="67" t="s">
        <v>241</v>
      </c>
      <c r="D4" s="68" t="s">
        <v>242</v>
      </c>
      <c r="E4" s="68" t="s">
        <v>243</v>
      </c>
      <c r="F4" s="68" t="s">
        <v>244</v>
      </c>
      <c r="G4" s="68" t="s">
        <v>245</v>
      </c>
      <c r="H4" s="68" t="s">
        <v>246</v>
      </c>
      <c r="I4" s="67" t="s">
        <v>247</v>
      </c>
      <c r="J4" s="67" t="s">
        <v>248</v>
      </c>
      <c r="K4" s="67" t="s">
        <v>249</v>
      </c>
      <c r="L4" s="67" t="s">
        <v>250</v>
      </c>
      <c r="M4" s="67" t="s">
        <v>251</v>
      </c>
      <c r="N4" s="67" t="s">
        <v>252</v>
      </c>
      <c r="O4" s="67" t="s">
        <v>253</v>
      </c>
      <c r="P4" s="69"/>
      <c r="Q4" s="69"/>
    </row>
    <row r="5" spans="1:18" x14ac:dyDescent="0.2">
      <c r="A5" s="70">
        <v>2018</v>
      </c>
      <c r="B5" s="78">
        <v>0.3</v>
      </c>
      <c r="C5" s="78">
        <v>0.61099999999999999</v>
      </c>
      <c r="D5" s="75">
        <f>'Damage-Reduction Best'!E18</f>
        <v>1.0696602950338895E-3</v>
      </c>
      <c r="E5" s="71">
        <f>D5/B5</f>
        <v>3.565534316779632E-3</v>
      </c>
      <c r="F5" s="71">
        <f>'Seed Treatment Costs'!$E$63*('Adoption Path Sensitivity'!D24*'Incidence Sensitivity'!Q5)</f>
        <v>3.9608810233470978E-4</v>
      </c>
      <c r="G5" s="71">
        <f>(F5/(1+D5))</f>
        <v>3.9566487532743244E-4</v>
      </c>
      <c r="H5" s="71">
        <f>(E5-G5)</f>
        <v>3.1698694414521995E-3</v>
      </c>
      <c r="I5" s="71">
        <f t="shared" ref="I5:I19" si="0">(H5)</f>
        <v>3.1698694414521995E-3</v>
      </c>
      <c r="J5" s="72">
        <f>'Soybean Prices Sensitivity'!J7*35.74</f>
        <v>333.45420000000001</v>
      </c>
      <c r="K5" s="72">
        <f>('Soybean Prices and Production'!C7/36.74)</f>
        <v>120059880.23952095</v>
      </c>
      <c r="L5" s="72">
        <f t="shared" ref="L5:L19" si="1">(I5*J5*K5*(1+0.5*I5*B5))</f>
        <v>126964387.62280913</v>
      </c>
      <c r="M5" s="73">
        <f>'Research and Outreach Costs'!E61</f>
        <v>1194761.7375</v>
      </c>
      <c r="N5" s="72">
        <f t="shared" ref="N5:N19" si="2">(L5-M5)</f>
        <v>125769625.88530913</v>
      </c>
      <c r="O5" s="72">
        <f>NPV(0.05,N5:N19)</f>
        <v>11303114864.373093</v>
      </c>
      <c r="P5" s="69"/>
      <c r="Q5" s="69"/>
    </row>
    <row r="6" spans="1:18" x14ac:dyDescent="0.2">
      <c r="A6" s="70">
        <v>2019</v>
      </c>
      <c r="B6" s="78">
        <v>0.3</v>
      </c>
      <c r="C6" s="78">
        <v>0.61099999999999999</v>
      </c>
      <c r="D6" s="75">
        <f>'Damage-Reduction Best'!E19</f>
        <v>1.6223289520815953E-3</v>
      </c>
      <c r="E6" s="71">
        <f t="shared" ref="E6:E19" si="3">D6/B6</f>
        <v>5.4077631736053179E-3</v>
      </c>
      <c r="F6" s="71">
        <f>'Seed Treatment Costs'!$E$63*('Adoption Path Sensitivity'!D25*'Incidence Sensitivity'!Q6)</f>
        <v>5.999841866955681E-4</v>
      </c>
      <c r="G6" s="71">
        <f>(F6/(1+D6))</f>
        <v>5.9901239155010072E-4</v>
      </c>
      <c r="H6" s="71">
        <f>(E6-G6)</f>
        <v>4.8087507820552171E-3</v>
      </c>
      <c r="I6" s="71">
        <f t="shared" si="0"/>
        <v>4.8087507820552171E-3</v>
      </c>
      <c r="J6" s="72">
        <f>'Soybean Prices Sensitivity'!J8*35.74</f>
        <v>378.764877801897</v>
      </c>
      <c r="K6" s="72">
        <f>('Soybean Prices and Production'!C8/36.74)</f>
        <v>127653783.34240609</v>
      </c>
      <c r="L6" s="72">
        <f>(I6*J6*K6*(1+0.5*I6*B6))</f>
        <v>232674511.45028293</v>
      </c>
      <c r="M6" s="73">
        <f>'Research and Outreach Costs'!E62</f>
        <v>1959772.8384210526</v>
      </c>
      <c r="N6" s="72">
        <f>(L6-M6)</f>
        <v>230714738.61186188</v>
      </c>
      <c r="O6" s="72"/>
      <c r="P6" s="69"/>
      <c r="Q6" s="69"/>
    </row>
    <row r="7" spans="1:18" x14ac:dyDescent="0.2">
      <c r="A7" s="70">
        <v>2020</v>
      </c>
      <c r="B7" s="78">
        <v>0.3</v>
      </c>
      <c r="C7" s="78">
        <v>0.61099999999999999</v>
      </c>
      <c r="D7" s="75">
        <f>'Damage-Reduction Best'!E20</f>
        <v>2.3960567197613396E-3</v>
      </c>
      <c r="E7" s="71">
        <f t="shared" si="3"/>
        <v>7.9868557325377988E-3</v>
      </c>
      <c r="F7" s="71">
        <f>'Seed Treatment Costs'!$E$63*('Adoption Path Sensitivity'!D26*'Incidence Sensitivity'!Q7)</f>
        <v>8.8701428160890231E-4</v>
      </c>
      <c r="G7" s="71">
        <f>(F7/(1+D7))</f>
        <v>8.8489402533322597E-4</v>
      </c>
      <c r="H7" s="71">
        <f>(E7-G7)</f>
        <v>7.1019617072045731E-3</v>
      </c>
      <c r="I7" s="71">
        <f t="shared" si="0"/>
        <v>7.1019617072045731E-3</v>
      </c>
      <c r="J7" s="72">
        <f>'Soybean Prices Sensitivity'!J9*35.74</f>
        <v>385.37124194960455</v>
      </c>
      <c r="K7" s="72">
        <f>('Soybean Prices and Production'!C9/36.74)</f>
        <v>111322808.92759934</v>
      </c>
      <c r="L7" s="72">
        <f t="shared" si="1"/>
        <v>305003055.52181882</v>
      </c>
      <c r="M7" s="73">
        <f>'Research and Outreach Costs'!E63</f>
        <v>1959772.8384210526</v>
      </c>
      <c r="N7" s="72">
        <f t="shared" si="2"/>
        <v>303043282.68339777</v>
      </c>
      <c r="O7" s="72"/>
      <c r="P7" s="69"/>
      <c r="Q7" s="69"/>
    </row>
    <row r="8" spans="1:18" x14ac:dyDescent="0.2">
      <c r="A8" s="70">
        <v>2021</v>
      </c>
      <c r="B8" s="78">
        <v>0.3</v>
      </c>
      <c r="C8" s="78">
        <v>0.61099999999999999</v>
      </c>
      <c r="D8" s="75">
        <f>'Damage-Reduction Best'!E21</f>
        <v>3.4284817132336871E-3</v>
      </c>
      <c r="E8" s="71">
        <f t="shared" si="3"/>
        <v>1.1428272377445625E-2</v>
      </c>
      <c r="F8" s="71">
        <f>'Seed Treatment Costs'!$E$63*('Adoption Path Sensitivity'!D27*'Incidence Sensitivity'!Q8)</f>
        <v>1.2690511947398998E-3</v>
      </c>
      <c r="G8" s="71">
        <f t="shared" ref="G8:G19" si="4">(F8/(1+D8))</f>
        <v>1.2647151420030923E-3</v>
      </c>
      <c r="H8" s="71">
        <f t="shared" ref="H8:H18" si="5">(E8-G8)</f>
        <v>1.0163557235442532E-2</v>
      </c>
      <c r="I8" s="71">
        <f t="shared" si="0"/>
        <v>1.0163557235442532E-2</v>
      </c>
      <c r="J8" s="72">
        <f>'Soybean Prices Sensitivity'!J10*35.74</f>
        <v>402.98821301015789</v>
      </c>
      <c r="K8" s="72">
        <f>('Soybean Prices and Production'!C10/36.74)</f>
        <v>112547632.00870985</v>
      </c>
      <c r="L8" s="72">
        <f t="shared" si="1"/>
        <v>461674656.92778718</v>
      </c>
      <c r="M8" s="73">
        <f>'Research and Outreach Costs'!E64</f>
        <v>1783970.3084210525</v>
      </c>
      <c r="N8" s="72">
        <f t="shared" si="2"/>
        <v>459890686.61936611</v>
      </c>
      <c r="O8" s="72"/>
      <c r="P8" s="69"/>
      <c r="Q8" s="69"/>
    </row>
    <row r="9" spans="1:18" x14ac:dyDescent="0.2">
      <c r="A9" s="70">
        <v>2022</v>
      </c>
      <c r="B9" s="78">
        <v>0.3</v>
      </c>
      <c r="C9" s="78">
        <v>0.61099999999999999</v>
      </c>
      <c r="D9" s="75">
        <f>'Damage-Reduction Best'!E22</f>
        <v>4.7065711719981992E-3</v>
      </c>
      <c r="E9" s="71">
        <f>D9/B9</f>
        <v>1.5688570573327332E-2</v>
      </c>
      <c r="F9" s="71">
        <f>'Seed Treatment Costs'!$E$63*('Adoption Path Sensitivity'!D28*'Incidence Sensitivity'!Q9)</f>
        <v>1.7419100110596187E-3</v>
      </c>
      <c r="G9" s="71">
        <f>(F9/(1+D9))</f>
        <v>1.7337499933215992E-3</v>
      </c>
      <c r="H9" s="71">
        <f>(E9-G9)</f>
        <v>1.3954820580005734E-2</v>
      </c>
      <c r="I9" s="71">
        <f t="shared" si="0"/>
        <v>1.3954820580005734E-2</v>
      </c>
      <c r="J9" s="72">
        <f>'Soybean Prices Sensitivity'!J11*35.74</f>
        <v>420.60518407071123</v>
      </c>
      <c r="K9" s="72">
        <f>('Soybean Prices and Production'!C11/36.74)</f>
        <v>114452912.35710397</v>
      </c>
      <c r="L9" s="72">
        <f t="shared" si="1"/>
        <v>673184102.667467</v>
      </c>
      <c r="M9" s="73">
        <f>'Research and Outreach Costs'!E65</f>
        <v>1783970.3084210525</v>
      </c>
      <c r="N9" s="72">
        <f t="shared" si="2"/>
        <v>671400132.35904598</v>
      </c>
      <c r="O9" s="72"/>
      <c r="P9" s="69"/>
      <c r="Q9" s="69"/>
    </row>
    <row r="10" spans="1:18" x14ac:dyDescent="0.2">
      <c r="A10" s="70">
        <v>2023</v>
      </c>
      <c r="B10" s="78">
        <v>0.3</v>
      </c>
      <c r="C10" s="78">
        <v>0.61099999999999999</v>
      </c>
      <c r="D10" s="75">
        <f>'Damage-Reduction Best'!E23</f>
        <v>6.1563902097152888E-3</v>
      </c>
      <c r="E10" s="71">
        <f>D10/B10</f>
        <v>2.0521300699050962E-2</v>
      </c>
      <c r="F10" s="71">
        <f>'Seed Treatment Costs'!$E$63*('Adoption Path Sensitivity'!D29*'Incidence Sensitivity'!Q10)</f>
        <v>2.2781955337369299E-3</v>
      </c>
      <c r="G10" s="71">
        <f t="shared" si="4"/>
        <v>2.264255890937671E-3</v>
      </c>
      <c r="H10" s="71">
        <f t="shared" si="5"/>
        <v>1.8257044808113292E-2</v>
      </c>
      <c r="I10" s="71">
        <f t="shared" si="0"/>
        <v>1.8257044808113292E-2</v>
      </c>
      <c r="J10" s="72">
        <f>'Soybean Prices Sensitivity'!J12*35.74</f>
        <v>438.22215513126451</v>
      </c>
      <c r="K10" s="72">
        <f>('Soybean Prices and Production'!C12/36.74)</f>
        <v>116222101.25204137</v>
      </c>
      <c r="L10" s="72">
        <f t="shared" si="1"/>
        <v>932397819.78387225</v>
      </c>
      <c r="M10" s="73">
        <f>'Research and Outreach Costs'!E66</f>
        <v>1783970.3084210525</v>
      </c>
      <c r="N10" s="72">
        <f t="shared" si="2"/>
        <v>930613849.47545123</v>
      </c>
      <c r="O10" s="72"/>
      <c r="P10" s="69"/>
      <c r="Q10" s="69"/>
    </row>
    <row r="11" spans="1:18" x14ac:dyDescent="0.2">
      <c r="A11" s="70">
        <v>2024</v>
      </c>
      <c r="B11" s="78">
        <v>0.3</v>
      </c>
      <c r="C11" s="78">
        <v>0.61099999999999999</v>
      </c>
      <c r="D11" s="75">
        <f>'Damage-Reduction Best'!E24</f>
        <v>7.6538637336424631E-3</v>
      </c>
      <c r="E11" s="71">
        <f t="shared" si="3"/>
        <v>2.5512879112141545E-2</v>
      </c>
      <c r="F11" s="71">
        <f>'Seed Treatment Costs'!$E$63*('Adoption Path Sensitivity'!D30*'Incidence Sensitivity'!Q11)</f>
        <v>2.8306202644143908E-3</v>
      </c>
      <c r="G11" s="71">
        <f>(F11/(1+D11))</f>
        <v>2.8091196454367198E-3</v>
      </c>
      <c r="H11" s="71">
        <f t="shared" si="5"/>
        <v>2.2703759466704825E-2</v>
      </c>
      <c r="I11" s="71">
        <f t="shared" si="0"/>
        <v>2.2703759466704825E-2</v>
      </c>
      <c r="J11" s="72">
        <f>'Soybean Prices Sensitivity'!J13*35.74</f>
        <v>436.02003374869543</v>
      </c>
      <c r="K11" s="72">
        <f>('Soybean Prices and Production'!C13/36.74)</f>
        <v>118263473.05389221</v>
      </c>
      <c r="L11" s="72">
        <f>(I11*J11*K11*(1+0.5*I11*B11))</f>
        <v>1174711863.9734175</v>
      </c>
      <c r="M11" s="73">
        <f>'Research and Outreach Costs'!E67</f>
        <v>1783970.3084210525</v>
      </c>
      <c r="N11" s="72">
        <f t="shared" si="2"/>
        <v>1172927893.6649964</v>
      </c>
      <c r="O11" s="72"/>
      <c r="P11" s="69"/>
      <c r="Q11" s="69"/>
    </row>
    <row r="12" spans="1:18" x14ac:dyDescent="0.2">
      <c r="A12" s="70">
        <v>2025</v>
      </c>
      <c r="B12" s="78">
        <v>0.3</v>
      </c>
      <c r="C12" s="78">
        <v>0.61099999999999999</v>
      </c>
      <c r="D12" s="75">
        <f>'Damage-Reduction Best'!E25</f>
        <v>9.0487950451902527E-3</v>
      </c>
      <c r="E12" s="71">
        <f t="shared" si="3"/>
        <v>3.0162650150634178E-2</v>
      </c>
      <c r="F12" s="71">
        <f>'Seed Treatment Costs'!$E$63*('Adoption Path Sensitivity'!D31*'Incidence Sensitivity'!Q12)</f>
        <v>3.3476737895523022E-3</v>
      </c>
      <c r="G12" s="71">
        <f t="shared" si="4"/>
        <v>3.3176530272774137E-3</v>
      </c>
      <c r="H12" s="71">
        <f t="shared" si="5"/>
        <v>2.6844997123356765E-2</v>
      </c>
      <c r="I12" s="71">
        <f t="shared" si="0"/>
        <v>2.6844997123356765E-2</v>
      </c>
      <c r="J12" s="72">
        <f>'Soybean Prices Sensitivity'!J14*35.74</f>
        <v>396.38184886245034</v>
      </c>
      <c r="K12" s="72">
        <f>('Soybean Prices and Production'!C14/36.74)</f>
        <v>120168753.40228634</v>
      </c>
      <c r="L12" s="72">
        <f>(I12*J12*K12*(1+0.5*I12*B12))</f>
        <v>1283849038.8529379</v>
      </c>
      <c r="M12" s="73">
        <f>'Research and Outreach Costs'!E68</f>
        <v>1783970.3084210525</v>
      </c>
      <c r="N12" s="72">
        <f t="shared" si="2"/>
        <v>1282065068.5445168</v>
      </c>
      <c r="O12" s="72"/>
      <c r="P12" s="69"/>
      <c r="Q12" s="69"/>
    </row>
    <row r="13" spans="1:18" x14ac:dyDescent="0.2">
      <c r="A13" s="70">
        <v>2026</v>
      </c>
      <c r="B13" s="78">
        <v>0.3</v>
      </c>
      <c r="C13" s="78">
        <v>0.61099999999999999</v>
      </c>
      <c r="D13" s="75">
        <f>'Damage-Reduction Best'!E26</f>
        <v>1.0250941451115535E-2</v>
      </c>
      <c r="E13" s="71">
        <f t="shared" si="3"/>
        <v>3.4169804837051787E-2</v>
      </c>
      <c r="F13" s="71">
        <f>'Seed Treatment Costs'!$E$63*('Adoption Path Sensitivity'!D32*'Incidence Sensitivity'!Q13)</f>
        <v>3.7919262682907032E-3</v>
      </c>
      <c r="G13" s="71">
        <f t="shared" si="4"/>
        <v>3.753449873398795E-3</v>
      </c>
      <c r="H13" s="71">
        <f t="shared" si="5"/>
        <v>3.041635496365299E-2</v>
      </c>
      <c r="I13" s="71">
        <f t="shared" si="0"/>
        <v>3.041635496365299E-2</v>
      </c>
      <c r="J13" s="72">
        <f>'Soybean Prices Sensitivity'!J15*35.74</f>
        <v>425.00942683584952</v>
      </c>
      <c r="K13" s="72">
        <f>('Soybean Prices and Production'!C15/36.74)</f>
        <v>122210125.20413718</v>
      </c>
      <c r="L13" s="72">
        <f t="shared" si="1"/>
        <v>1587047267.4123511</v>
      </c>
      <c r="M13" s="73">
        <f>'Research and Outreach Costs'!E69</f>
        <v>1783970.3084210525</v>
      </c>
      <c r="N13" s="72">
        <f t="shared" si="2"/>
        <v>1585263297.10393</v>
      </c>
      <c r="O13" s="72"/>
      <c r="P13" s="69"/>
      <c r="Q13" s="69"/>
    </row>
    <row r="14" spans="1:18" x14ac:dyDescent="0.2">
      <c r="A14" s="70">
        <v>2027</v>
      </c>
      <c r="B14" s="78">
        <v>0.3</v>
      </c>
      <c r="C14" s="78">
        <v>0.61099999999999999</v>
      </c>
      <c r="D14" s="75">
        <f>'Damage-Reduction Best'!E27</f>
        <v>1.1216681033405732E-2</v>
      </c>
      <c r="E14" s="71">
        <f t="shared" si="3"/>
        <v>3.7388936778019112E-2</v>
      </c>
      <c r="F14" s="71">
        <f>'Seed Treatment Costs'!$E$63*('Adoption Path Sensitivity'!D33*'Incidence Sensitivity'!Q14)</f>
        <v>4.1486256161435741E-3</v>
      </c>
      <c r="G14" s="71">
        <f t="shared" si="4"/>
        <v>4.102607971126342E-3</v>
      </c>
      <c r="H14" s="71">
        <f t="shared" si="5"/>
        <v>3.3286328806892772E-2</v>
      </c>
      <c r="I14" s="71">
        <f t="shared" si="0"/>
        <v>3.3286328806892772E-2</v>
      </c>
      <c r="J14" s="72">
        <f>'Soybean Prices Sensitivity'!J16*35.74</f>
        <v>416.20094130557288</v>
      </c>
      <c r="K14" s="72">
        <f>('Soybean Prices and Production'!C16/36.74)</f>
        <v>123434948.28524768</v>
      </c>
      <c r="L14" s="72">
        <f t="shared" si="1"/>
        <v>1718581416.4653587</v>
      </c>
      <c r="M14" s="73">
        <f>'Research and Outreach Costs'!E70</f>
        <v>1783970.3084210525</v>
      </c>
      <c r="N14" s="72">
        <f t="shared" si="2"/>
        <v>1716797446.1569376</v>
      </c>
      <c r="O14" s="72"/>
      <c r="P14" s="69"/>
      <c r="Q14" s="69"/>
    </row>
    <row r="15" spans="1:18" x14ac:dyDescent="0.2">
      <c r="A15" s="70">
        <v>2028</v>
      </c>
      <c r="B15" s="78">
        <v>0.3</v>
      </c>
      <c r="C15" s="78">
        <v>0.61099999999999999</v>
      </c>
      <c r="D15" s="75">
        <f>'Damage-Reduction Best'!E28</f>
        <v>1.1957799654739422E-2</v>
      </c>
      <c r="E15" s="71">
        <f t="shared" si="3"/>
        <v>3.9859332182464742E-2</v>
      </c>
      <c r="F15" s="71">
        <f>'Seed Treatment Costs'!$E$63*('Adoption Path Sensitivity'!D34*'Incidence Sensitivity'!Q15)</f>
        <v>4.4221643939504124E-3</v>
      </c>
      <c r="G15" s="71">
        <f t="shared" si="4"/>
        <v>4.3699098870122544E-3</v>
      </c>
      <c r="H15" s="71">
        <f t="shared" si="5"/>
        <v>3.5489422295452488E-2</v>
      </c>
      <c r="I15" s="71">
        <f t="shared" si="0"/>
        <v>3.5489422295452488E-2</v>
      </c>
      <c r="J15" s="72">
        <f>'Soybean Prices Sensitivity'!J17*35.74</f>
        <v>416.20094130557288</v>
      </c>
      <c r="K15" s="72">
        <f>('Soybean Prices and Production'!C17/36.74)</f>
        <v>125476320.08709852</v>
      </c>
      <c r="L15" s="72">
        <f t="shared" si="1"/>
        <v>1863243258.2558506</v>
      </c>
      <c r="M15" s="73">
        <f>'Research and Outreach Costs'!E71</f>
        <v>1783970.3084210525</v>
      </c>
      <c r="N15" s="72">
        <f t="shared" si="2"/>
        <v>1861459287.9474294</v>
      </c>
      <c r="O15" s="72"/>
      <c r="P15" s="69"/>
      <c r="Q15" s="69"/>
    </row>
    <row r="16" spans="1:18" x14ac:dyDescent="0.2">
      <c r="A16" s="70">
        <v>2029</v>
      </c>
      <c r="B16" s="78">
        <v>0.3</v>
      </c>
      <c r="C16" s="78">
        <v>0.61099999999999999</v>
      </c>
      <c r="D16" s="75">
        <f>'Damage-Reduction Best'!E29</f>
        <v>1.2511393403017039E-2</v>
      </c>
      <c r="E16" s="71">
        <f t="shared" si="3"/>
        <v>4.1704644676723468E-2</v>
      </c>
      <c r="F16" s="71">
        <f>'Seed Treatment Costs'!$E$63*('Adoption Path Sensitivity'!D35*'Incidence Sensitivity'!Q16)</f>
        <v>4.6270752831636596E-3</v>
      </c>
      <c r="G16" s="71">
        <f t="shared" si="4"/>
        <v>4.5698994730441643E-3</v>
      </c>
      <c r="H16" s="71">
        <f t="shared" si="5"/>
        <v>3.7134745203679306E-2</v>
      </c>
      <c r="I16" s="71">
        <f t="shared" si="0"/>
        <v>3.7134745203679306E-2</v>
      </c>
      <c r="J16" s="72">
        <f>'Soybean Prices Sensitivity'!J18*35.74</f>
        <v>416.20094130557288</v>
      </c>
      <c r="K16" s="72">
        <f>('Soybean Prices and Production'!C18/36.74)</f>
        <v>126701143.16820903</v>
      </c>
      <c r="L16" s="72">
        <f t="shared" si="1"/>
        <v>1969139298.2730916</v>
      </c>
      <c r="M16" s="73">
        <f>'Research and Outreach Costs'!E72</f>
        <v>1783970.3084210525</v>
      </c>
      <c r="N16" s="72">
        <f t="shared" si="2"/>
        <v>1967355327.9646704</v>
      </c>
      <c r="O16" s="72"/>
      <c r="P16" s="69"/>
      <c r="Q16" s="69"/>
    </row>
    <row r="17" spans="1:17" x14ac:dyDescent="0.2">
      <c r="A17" s="70">
        <v>2030</v>
      </c>
      <c r="B17" s="78">
        <v>0.3</v>
      </c>
      <c r="C17" s="78">
        <v>0.61099999999999999</v>
      </c>
      <c r="D17" s="75">
        <f>'Damage-Reduction Best'!E30</f>
        <v>1.2929396885675773E-2</v>
      </c>
      <c r="E17" s="71">
        <f t="shared" si="3"/>
        <v>4.3097989618919245E-2</v>
      </c>
      <c r="F17" s="71">
        <f>'Seed Treatment Costs'!$E$63*('Adoption Path Sensitivity'!D36*'Incidence Sensitivity'!Q17)</f>
        <v>4.7802358859635272E-3</v>
      </c>
      <c r="G17" s="71">
        <f t="shared" si="4"/>
        <v>4.7192192275796376E-3</v>
      </c>
      <c r="H17" s="71">
        <f t="shared" si="5"/>
        <v>3.8378770391339606E-2</v>
      </c>
      <c r="I17" s="71">
        <f t="shared" si="0"/>
        <v>3.8378770391339606E-2</v>
      </c>
      <c r="J17" s="72">
        <f>'Soybean Prices Sensitivity'!J19*35.74</f>
        <v>416.20094130557288</v>
      </c>
      <c r="K17" s="72">
        <f>('Soybean Prices and Production'!C19/36.74)</f>
        <v>126701143.16820903</v>
      </c>
      <c r="L17" s="72">
        <f t="shared" si="1"/>
        <v>2035483714.7658222</v>
      </c>
      <c r="M17" s="73">
        <f>'Research and Outreach Costs'!E73</f>
        <v>1783970.3084210525</v>
      </c>
      <c r="N17" s="72">
        <f t="shared" si="2"/>
        <v>2033699744.457401</v>
      </c>
      <c r="O17" s="72"/>
      <c r="P17" s="72"/>
      <c r="Q17" s="69"/>
    </row>
    <row r="18" spans="1:17" x14ac:dyDescent="0.2">
      <c r="A18" s="70">
        <v>2031</v>
      </c>
      <c r="B18" s="78">
        <v>0.3</v>
      </c>
      <c r="C18" s="78">
        <v>0.61099999999999999</v>
      </c>
      <c r="D18" s="75">
        <f>'Damage-Reduction Best'!E31</f>
        <v>1.3245846080298437E-2</v>
      </c>
      <c r="E18" s="71">
        <f t="shared" si="3"/>
        <v>4.4152820267661458E-2</v>
      </c>
      <c r="F18" s="71">
        <f>'Seed Treatment Costs'!$E$63*('Adoption Path Sensitivity'!D37*'Incidence Sensitivity'!Q18)</f>
        <v>4.8965983209034031E-3</v>
      </c>
      <c r="G18" s="71">
        <f t="shared" si="4"/>
        <v>4.8325866223342543E-3</v>
      </c>
      <c r="H18" s="71">
        <f t="shared" si="5"/>
        <v>3.9320233645327204E-2</v>
      </c>
      <c r="I18" s="71">
        <f t="shared" si="0"/>
        <v>3.9320233645327204E-2</v>
      </c>
      <c r="J18" s="72">
        <f>'Soybean Prices Sensitivity'!J20*35.74</f>
        <v>416.20094130557288</v>
      </c>
      <c r="K18" s="72">
        <f>('Soybean Prices and Production'!C20/36.74)</f>
        <v>126701143.16820903</v>
      </c>
      <c r="L18" s="72">
        <f t="shared" si="1"/>
        <v>2085708643.9975545</v>
      </c>
      <c r="M18" s="73">
        <f>'Research and Outreach Costs'!E74</f>
        <v>1783970.3084210525</v>
      </c>
      <c r="N18" s="72">
        <f t="shared" si="2"/>
        <v>2083924673.6891334</v>
      </c>
      <c r="O18" s="72"/>
      <c r="P18" s="72"/>
      <c r="Q18" s="69"/>
    </row>
    <row r="19" spans="1:17" x14ac:dyDescent="0.2">
      <c r="A19" s="70">
        <v>2032</v>
      </c>
      <c r="B19" s="78">
        <v>0.3</v>
      </c>
      <c r="C19" s="78">
        <v>0.61099999999999999</v>
      </c>
      <c r="D19" s="75">
        <f>'Damage-Reduction Best'!E32</f>
        <v>1.3494235202542528E-2</v>
      </c>
      <c r="E19" s="71">
        <f t="shared" si="3"/>
        <v>4.4980784008475098E-2</v>
      </c>
      <c r="F19" s="71">
        <f>'Seed Treatment Costs'!$E$63*('Adoption Path Sensitivity'!D38*'Incidence Sensitivity'!Q19)</f>
        <v>4.9877738926596329E-3</v>
      </c>
      <c r="G19" s="71">
        <f t="shared" si="4"/>
        <v>4.9213638513324626E-3</v>
      </c>
      <c r="H19" s="71">
        <f>(E19-G19)</f>
        <v>4.0059420157142638E-2</v>
      </c>
      <c r="I19" s="71">
        <f t="shared" si="0"/>
        <v>4.0059420157142638E-2</v>
      </c>
      <c r="J19" s="72">
        <f>'Soybean Prices Sensitivity'!J21*35.74</f>
        <v>416.20094130557288</v>
      </c>
      <c r="K19" s="72">
        <f>('Soybean Prices and Production'!C21/36.74)</f>
        <v>126701143.16820903</v>
      </c>
      <c r="L19" s="72">
        <f t="shared" si="1"/>
        <v>2125152394.4898787</v>
      </c>
      <c r="M19" s="73">
        <f>'Research and Outreach Costs'!E75</f>
        <v>1783970.3084210525</v>
      </c>
      <c r="N19" s="72">
        <f t="shared" si="2"/>
        <v>2123368424.1814575</v>
      </c>
      <c r="O19" s="72"/>
      <c r="P19" s="72"/>
      <c r="Q19" s="69"/>
    </row>
  </sheetData>
  <mergeCells count="2">
    <mergeCell ref="A2:R2"/>
    <mergeCell ref="F3:G3"/>
  </mergeCells>
  <pageMargins left="0.7" right="0.7" top="0.75" bottom="0.75" header="0.3" footer="0.3"/>
  <pageSetup scale="51" orientation="landscape"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30"/>
  <sheetViews>
    <sheetView workbookViewId="0">
      <selection activeCell="C10" sqref="C10"/>
    </sheetView>
  </sheetViews>
  <sheetFormatPr baseColWidth="10" defaultColWidth="11" defaultRowHeight="16" x14ac:dyDescent="0.2"/>
  <cols>
    <col min="1" max="1" width="39" customWidth="1"/>
  </cols>
  <sheetData>
    <row r="1" spans="1:6" x14ac:dyDescent="0.2">
      <c r="A1" t="s">
        <v>0</v>
      </c>
    </row>
    <row r="3" spans="1:6" x14ac:dyDescent="0.2">
      <c r="C3" t="s">
        <v>1</v>
      </c>
      <c r="D3" t="s">
        <v>2</v>
      </c>
      <c r="E3" t="s">
        <v>3</v>
      </c>
      <c r="F3" t="s">
        <v>4</v>
      </c>
    </row>
    <row r="4" spans="1:6" x14ac:dyDescent="0.2">
      <c r="A4" t="s">
        <v>5</v>
      </c>
      <c r="C4">
        <v>0.3</v>
      </c>
      <c r="E4" t="s">
        <v>12</v>
      </c>
    </row>
    <row r="5" spans="1:6" x14ac:dyDescent="0.2">
      <c r="A5" t="s">
        <v>6</v>
      </c>
      <c r="C5">
        <v>-0.61</v>
      </c>
      <c r="E5" t="s">
        <v>13</v>
      </c>
    </row>
    <row r="6" spans="1:6" ht="17" x14ac:dyDescent="0.2">
      <c r="A6" s="1" t="s">
        <v>7</v>
      </c>
      <c r="B6" s="1"/>
      <c r="C6">
        <v>-0.9</v>
      </c>
      <c r="E6" t="s">
        <v>14</v>
      </c>
    </row>
    <row r="7" spans="1:6" x14ac:dyDescent="0.2">
      <c r="A7" s="43" t="s">
        <v>8</v>
      </c>
      <c r="C7" s="3">
        <v>7.5999999999999998E-2</v>
      </c>
      <c r="D7" t="s">
        <v>15</v>
      </c>
      <c r="E7" s="4" t="s">
        <v>16</v>
      </c>
    </row>
    <row r="8" spans="1:6" x14ac:dyDescent="0.2">
      <c r="A8" s="43" t="s">
        <v>17</v>
      </c>
      <c r="C8" s="3">
        <v>0</v>
      </c>
      <c r="D8" t="s">
        <v>15</v>
      </c>
    </row>
    <row r="9" spans="1:6" ht="29" x14ac:dyDescent="0.2">
      <c r="A9" s="2" t="s">
        <v>18</v>
      </c>
      <c r="C9" s="3">
        <v>9.8400000000000001E-2</v>
      </c>
      <c r="D9" t="s">
        <v>15</v>
      </c>
      <c r="E9" t="s">
        <v>48</v>
      </c>
    </row>
    <row r="10" spans="1:6" x14ac:dyDescent="0.2">
      <c r="A10" s="2" t="s">
        <v>19</v>
      </c>
      <c r="C10">
        <v>13</v>
      </c>
      <c r="D10" t="s">
        <v>9</v>
      </c>
      <c r="E10" t="s">
        <v>36</v>
      </c>
    </row>
    <row r="11" spans="1:6" x14ac:dyDescent="0.2">
      <c r="A11" s="2" t="s">
        <v>10</v>
      </c>
      <c r="C11">
        <v>0.02</v>
      </c>
      <c r="E11" t="s">
        <v>37</v>
      </c>
    </row>
    <row r="12" spans="1:6" x14ac:dyDescent="0.2">
      <c r="A12" t="s">
        <v>11</v>
      </c>
      <c r="C12">
        <v>0.05</v>
      </c>
    </row>
    <row r="15" spans="1:6" x14ac:dyDescent="0.2">
      <c r="A15" s="60" t="s">
        <v>20</v>
      </c>
      <c r="B15" s="5"/>
      <c r="C15" s="5"/>
      <c r="D15" s="5"/>
      <c r="E15" s="5"/>
    </row>
    <row r="16" spans="1:6" x14ac:dyDescent="0.2">
      <c r="A16" s="61" t="s">
        <v>21</v>
      </c>
      <c r="B16" s="5"/>
      <c r="C16" s="5"/>
      <c r="D16" s="5"/>
      <c r="E16" s="5"/>
    </row>
    <row r="17" spans="1:5" x14ac:dyDescent="0.2">
      <c r="A17" s="61" t="s">
        <v>22</v>
      </c>
      <c r="B17" s="5"/>
      <c r="C17" s="5"/>
      <c r="D17" s="5"/>
      <c r="E17" s="5"/>
    </row>
    <row r="18" spans="1:5" x14ac:dyDescent="0.2">
      <c r="A18" s="6" t="s">
        <v>23</v>
      </c>
      <c r="B18" s="5"/>
      <c r="C18" s="5"/>
      <c r="D18" s="5"/>
      <c r="E18" s="5"/>
    </row>
    <row r="19" spans="1:5" x14ac:dyDescent="0.2">
      <c r="A19" s="5" t="s">
        <v>24</v>
      </c>
      <c r="B19" s="5"/>
      <c r="C19" s="5"/>
      <c r="D19" s="5"/>
      <c r="E19" s="5"/>
    </row>
    <row r="20" spans="1:5" x14ac:dyDescent="0.2">
      <c r="A20" s="7" t="s">
        <v>25</v>
      </c>
      <c r="B20" s="5"/>
      <c r="C20" s="5" t="s">
        <v>26</v>
      </c>
      <c r="D20" s="5" t="s">
        <v>27</v>
      </c>
      <c r="E20" s="5"/>
    </row>
    <row r="21" spans="1:5" x14ac:dyDescent="0.2">
      <c r="A21" s="7" t="s">
        <v>28</v>
      </c>
      <c r="B21" s="5"/>
      <c r="C21" s="5"/>
      <c r="D21" s="5" t="s">
        <v>29</v>
      </c>
      <c r="E21" s="5"/>
    </row>
    <row r="22" spans="1:5" x14ac:dyDescent="0.2">
      <c r="A22" s="7" t="s">
        <v>30</v>
      </c>
      <c r="B22" s="5"/>
      <c r="C22" s="5"/>
      <c r="D22" s="5" t="s">
        <v>31</v>
      </c>
      <c r="E22" s="5"/>
    </row>
    <row r="23" spans="1:5" x14ac:dyDescent="0.2">
      <c r="A23" s="58" t="s">
        <v>32</v>
      </c>
      <c r="B23" s="5"/>
      <c r="C23" s="5"/>
      <c r="D23" s="5" t="s">
        <v>33</v>
      </c>
      <c r="E23" s="5"/>
    </row>
    <row r="24" spans="1:5" x14ac:dyDescent="0.2">
      <c r="A24" s="59" t="s">
        <v>34</v>
      </c>
      <c r="B24" s="5"/>
      <c r="C24" s="5"/>
      <c r="D24" s="5"/>
      <c r="E24" s="5"/>
    </row>
    <row r="25" spans="1:5" x14ac:dyDescent="0.2">
      <c r="A25" s="58" t="s">
        <v>35</v>
      </c>
      <c r="B25" s="5"/>
      <c r="C25" s="5"/>
      <c r="D25" s="5"/>
      <c r="E25" s="5"/>
    </row>
    <row r="26" spans="1:5" x14ac:dyDescent="0.2">
      <c r="A26" s="58" t="s">
        <v>30</v>
      </c>
      <c r="B26" s="5"/>
      <c r="C26" s="5"/>
      <c r="D26" s="5"/>
      <c r="E26" s="5"/>
    </row>
    <row r="30" spans="1:5" x14ac:dyDescent="0.2">
      <c r="A30" s="57"/>
      <c r="B30" s="57"/>
    </row>
  </sheetData>
  <pageMargins left="0.7" right="0.7" top="0.75" bottom="0.75" header="0.3" footer="0.3"/>
  <pageSetup scale="60" orientation="landscape"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28"/>
  <sheetViews>
    <sheetView workbookViewId="0">
      <selection activeCell="E13" sqref="E13"/>
    </sheetView>
  </sheetViews>
  <sheetFormatPr baseColWidth="10" defaultColWidth="11" defaultRowHeight="16" x14ac:dyDescent="0.2"/>
  <cols>
    <col min="2" max="2" width="30.6640625" customWidth="1"/>
    <col min="3" max="3" width="20.1640625" bestFit="1" customWidth="1"/>
    <col min="4" max="4" width="17.83203125" bestFit="1" customWidth="1"/>
    <col min="6" max="6" width="3.33203125" customWidth="1"/>
    <col min="7" max="7" width="2.83203125" customWidth="1"/>
    <col min="8" max="8" width="8" customWidth="1"/>
    <col min="9" max="9" width="16.6640625" customWidth="1"/>
    <col min="10" max="10" width="17.83203125" customWidth="1"/>
  </cols>
  <sheetData>
    <row r="1" spans="1:11" x14ac:dyDescent="0.2">
      <c r="A1" t="s">
        <v>198</v>
      </c>
    </row>
    <row r="2" spans="1:11" x14ac:dyDescent="0.2">
      <c r="I2" s="76"/>
    </row>
    <row r="3" spans="1:11" x14ac:dyDescent="0.2">
      <c r="A3" s="99" t="s">
        <v>43</v>
      </c>
      <c r="B3" s="99"/>
      <c r="C3" s="99"/>
      <c r="D3" s="99"/>
      <c r="E3" s="99"/>
      <c r="H3" s="99" t="s">
        <v>44</v>
      </c>
      <c r="I3" s="99"/>
      <c r="J3" s="99"/>
      <c r="K3" s="86"/>
    </row>
    <row r="4" spans="1:11" x14ac:dyDescent="0.2">
      <c r="A4" t="s">
        <v>38</v>
      </c>
      <c r="B4" t="s">
        <v>49</v>
      </c>
      <c r="C4" t="s">
        <v>40</v>
      </c>
      <c r="D4" t="s">
        <v>42</v>
      </c>
      <c r="E4" t="s">
        <v>39</v>
      </c>
      <c r="I4" t="s">
        <v>45</v>
      </c>
      <c r="J4" s="15" t="s">
        <v>264</v>
      </c>
      <c r="K4" s="57"/>
    </row>
    <row r="5" spans="1:11" x14ac:dyDescent="0.2">
      <c r="A5">
        <v>1996</v>
      </c>
      <c r="B5" s="8">
        <v>3709000</v>
      </c>
      <c r="C5" s="9">
        <v>2380274000</v>
      </c>
      <c r="D5">
        <f>(B5/(C5+B5))*100</f>
        <v>0.15557996848131886</v>
      </c>
      <c r="E5">
        <f>D5/0.1</f>
        <v>1.5557996848131885</v>
      </c>
      <c r="H5">
        <v>2018</v>
      </c>
      <c r="I5">
        <f>(0.1681*2018-329.39)/100</f>
        <v>9.8358000000000056E-2</v>
      </c>
      <c r="J5" s="15"/>
      <c r="K5" s="83"/>
    </row>
    <row r="6" spans="1:11" x14ac:dyDescent="0.2">
      <c r="A6">
        <v>1997</v>
      </c>
      <c r="B6" s="8">
        <v>11162000</v>
      </c>
      <c r="C6" s="9">
        <v>2688750000</v>
      </c>
      <c r="D6">
        <f t="shared" ref="D6:D24" si="0">(B6/(C6+B6))*100</f>
        <v>0.4134208818657793</v>
      </c>
      <c r="E6">
        <f t="shared" ref="E6:E24" si="1">D6/0.1</f>
        <v>4.1342088186577923</v>
      </c>
      <c r="H6">
        <v>2019</v>
      </c>
      <c r="I6">
        <f>(0.1681*2019-329.39)/100</f>
        <v>0.10003899999999988</v>
      </c>
      <c r="J6" s="15">
        <f>AVERAGE(E9,E13,E19,E23)/100-I6</f>
        <v>9.0455639858870535E-2</v>
      </c>
      <c r="K6" s="83"/>
    </row>
    <row r="7" spans="1:11" x14ac:dyDescent="0.2">
      <c r="A7">
        <v>1998</v>
      </c>
      <c r="B7" s="8">
        <v>33097000</v>
      </c>
      <c r="C7" s="9">
        <v>2741014000</v>
      </c>
      <c r="D7">
        <f t="shared" si="0"/>
        <v>1.1930668960254294</v>
      </c>
      <c r="E7">
        <f t="shared" si="1"/>
        <v>11.930668960254293</v>
      </c>
      <c r="H7">
        <v>2020</v>
      </c>
      <c r="I7">
        <f>(0.1681*2020-329.39)/100</f>
        <v>0.10172000000000025</v>
      </c>
      <c r="J7" s="15"/>
      <c r="K7" s="83"/>
    </row>
    <row r="8" spans="1:11" x14ac:dyDescent="0.2">
      <c r="A8">
        <v>1999</v>
      </c>
      <c r="B8" s="8">
        <v>19221000</v>
      </c>
      <c r="C8" s="9">
        <v>2653758000</v>
      </c>
      <c r="D8">
        <f t="shared" si="0"/>
        <v>0.71908533512608963</v>
      </c>
      <c r="E8">
        <f t="shared" si="1"/>
        <v>7.1908533512608956</v>
      </c>
      <c r="H8">
        <v>2021</v>
      </c>
      <c r="I8">
        <f>(0.1681*2021-329.39)/100</f>
        <v>0.10340100000000006</v>
      </c>
      <c r="J8" s="15"/>
      <c r="K8" s="83"/>
    </row>
    <row r="9" spans="1:11" x14ac:dyDescent="0.2">
      <c r="A9">
        <v>2000</v>
      </c>
      <c r="B9" s="8">
        <v>75764000</v>
      </c>
      <c r="C9" s="9">
        <v>2757810000</v>
      </c>
      <c r="D9">
        <f t="shared" si="0"/>
        <v>2.6737964139987169</v>
      </c>
      <c r="E9">
        <f t="shared" si="1"/>
        <v>26.737964139987167</v>
      </c>
      <c r="H9">
        <v>2022</v>
      </c>
      <c r="I9">
        <f>(0.1681*2022-329.39)/100</f>
        <v>0.10508199999999988</v>
      </c>
      <c r="J9" s="15"/>
      <c r="K9" s="83"/>
    </row>
    <row r="10" spans="1:11" x14ac:dyDescent="0.2">
      <c r="A10">
        <v>2001</v>
      </c>
      <c r="B10" s="8">
        <v>23387000</v>
      </c>
      <c r="C10" s="9">
        <v>2890682000</v>
      </c>
      <c r="D10">
        <f t="shared" si="0"/>
        <v>0.80255477821561527</v>
      </c>
      <c r="E10">
        <f t="shared" si="1"/>
        <v>8.0255477821561527</v>
      </c>
      <c r="H10">
        <v>2023</v>
      </c>
      <c r="I10">
        <f>(0.1681*2023-329.39)/100</f>
        <v>0.10676300000000026</v>
      </c>
      <c r="J10" s="15"/>
      <c r="K10" s="83"/>
    </row>
    <row r="11" spans="1:11" x14ac:dyDescent="0.2">
      <c r="A11">
        <v>2002</v>
      </c>
      <c r="B11" s="8">
        <v>28698000</v>
      </c>
      <c r="C11" s="9">
        <v>2756147000</v>
      </c>
      <c r="D11">
        <f t="shared" si="0"/>
        <v>1.0305061861611686</v>
      </c>
      <c r="E11">
        <f t="shared" si="1"/>
        <v>10.305061861611685</v>
      </c>
      <c r="H11">
        <v>2024</v>
      </c>
      <c r="I11">
        <f>(0.1681*2024-329.39)/100</f>
        <v>0.10844400000000007</v>
      </c>
      <c r="J11" s="15">
        <f>AVERAGE(E9,E13,E19,E23)/100-I11</f>
        <v>8.2050639858870345E-2</v>
      </c>
      <c r="K11" s="83"/>
    </row>
    <row r="12" spans="1:11" x14ac:dyDescent="0.2">
      <c r="A12">
        <v>2003</v>
      </c>
      <c r="B12" s="8">
        <v>12421333</v>
      </c>
      <c r="C12" s="9">
        <v>2453845000</v>
      </c>
      <c r="D12">
        <f t="shared" si="0"/>
        <v>0.5036492950414857</v>
      </c>
      <c r="E12">
        <f t="shared" si="1"/>
        <v>5.036492950414857</v>
      </c>
      <c r="H12">
        <v>2025</v>
      </c>
      <c r="I12">
        <f>(0.1681*2025-329.39)/100</f>
        <v>0.11012499999999989</v>
      </c>
      <c r="J12" s="15"/>
      <c r="K12" s="83"/>
    </row>
    <row r="13" spans="1:11" x14ac:dyDescent="0.2">
      <c r="A13">
        <v>2004</v>
      </c>
      <c r="B13" s="8">
        <v>42329000</v>
      </c>
      <c r="C13" s="10">
        <v>3123790000</v>
      </c>
      <c r="D13">
        <f t="shared" si="0"/>
        <v>1.3369364828043417</v>
      </c>
      <c r="E13">
        <f t="shared" si="1"/>
        <v>13.369364828043416</v>
      </c>
      <c r="H13">
        <v>2026</v>
      </c>
      <c r="I13">
        <f>(0.1681*2026-329.39)/100</f>
        <v>0.11180600000000027</v>
      </c>
      <c r="J13" s="15"/>
      <c r="K13" s="83"/>
    </row>
    <row r="14" spans="1:11" x14ac:dyDescent="0.2">
      <c r="A14">
        <v>2005</v>
      </c>
      <c r="B14" s="8">
        <v>19849000</v>
      </c>
      <c r="C14" s="10">
        <v>3068342000</v>
      </c>
      <c r="D14">
        <f t="shared" si="0"/>
        <v>0.64273874251948804</v>
      </c>
      <c r="E14">
        <f t="shared" si="1"/>
        <v>6.4273874251948797</v>
      </c>
      <c r="H14">
        <v>2027</v>
      </c>
      <c r="I14">
        <f>(0.1681*2027-329.39)/100</f>
        <v>0.11348700000000007</v>
      </c>
      <c r="J14" s="15"/>
      <c r="K14" s="83"/>
    </row>
    <row r="15" spans="1:11" x14ac:dyDescent="0.2">
      <c r="A15">
        <v>2006</v>
      </c>
      <c r="B15" s="8">
        <v>27320000</v>
      </c>
      <c r="C15" s="10">
        <v>3196726000</v>
      </c>
      <c r="D15">
        <f t="shared" si="0"/>
        <v>0.847382450498535</v>
      </c>
      <c r="E15">
        <f t="shared" si="1"/>
        <v>8.47382450498535</v>
      </c>
      <c r="H15">
        <v>2028</v>
      </c>
      <c r="I15">
        <f>(0.1681*2028-329.39)/100</f>
        <v>0.1151679999999999</v>
      </c>
      <c r="J15" s="15"/>
      <c r="K15" s="83"/>
    </row>
    <row r="16" spans="1:11" x14ac:dyDescent="0.2">
      <c r="A16">
        <v>2007</v>
      </c>
      <c r="B16" s="8">
        <v>22078000</v>
      </c>
      <c r="C16" s="10">
        <v>2677117000</v>
      </c>
      <c r="D16">
        <f t="shared" si="0"/>
        <v>0.81794757325795286</v>
      </c>
      <c r="E16">
        <f t="shared" si="1"/>
        <v>8.1794757325795278</v>
      </c>
      <c r="H16">
        <v>2029</v>
      </c>
      <c r="I16">
        <f>(0.1681*2029-329.39)/100</f>
        <v>0.11684900000000027</v>
      </c>
      <c r="J16" s="15">
        <f>AVERAGE(E9,E13,E19,E23)/100-I16</f>
        <v>7.3645639858870141E-2</v>
      </c>
      <c r="K16" s="83"/>
    </row>
    <row r="17" spans="1:11" x14ac:dyDescent="0.2">
      <c r="A17">
        <v>2008</v>
      </c>
      <c r="B17" s="8">
        <v>20412000</v>
      </c>
      <c r="C17" s="10">
        <v>2967007000</v>
      </c>
      <c r="D17">
        <f t="shared" si="0"/>
        <v>0.68326538727911956</v>
      </c>
      <c r="E17">
        <f t="shared" si="1"/>
        <v>6.8326538727911954</v>
      </c>
      <c r="H17">
        <v>2030</v>
      </c>
      <c r="I17">
        <f>(0.1681*2030-329.39)/100</f>
        <v>0.11853000000000008</v>
      </c>
      <c r="J17" s="15"/>
      <c r="K17" s="83"/>
    </row>
    <row r="18" spans="1:11" x14ac:dyDescent="0.2">
      <c r="A18">
        <v>2009</v>
      </c>
      <c r="B18" s="8">
        <v>34473000</v>
      </c>
      <c r="C18" s="10">
        <v>3360931000</v>
      </c>
      <c r="D18">
        <f t="shared" si="0"/>
        <v>1.0152841900404193</v>
      </c>
      <c r="E18">
        <f t="shared" si="1"/>
        <v>10.152841900404193</v>
      </c>
      <c r="H18">
        <v>2031</v>
      </c>
      <c r="I18">
        <f>(0.1681*2031-329.39)/100</f>
        <v>0.1202109999999999</v>
      </c>
      <c r="J18" s="15"/>
      <c r="K18" s="83"/>
    </row>
    <row r="19" spans="1:11" x14ac:dyDescent="0.2">
      <c r="A19">
        <v>2010</v>
      </c>
      <c r="B19" s="8">
        <v>70088000</v>
      </c>
      <c r="C19" s="10">
        <v>3331306000</v>
      </c>
      <c r="D19">
        <f t="shared" si="0"/>
        <v>2.0605669322636544</v>
      </c>
      <c r="E19">
        <f t="shared" si="1"/>
        <v>20.605669322636544</v>
      </c>
      <c r="H19">
        <v>2032</v>
      </c>
      <c r="I19">
        <f>(0.1681*2032-329.39)/100</f>
        <v>0.12189200000000028</v>
      </c>
      <c r="J19" s="15"/>
      <c r="K19" s="83"/>
    </row>
    <row r="20" spans="1:11" x14ac:dyDescent="0.2">
      <c r="A20">
        <v>2011</v>
      </c>
      <c r="B20" s="8">
        <v>21868264.513250005</v>
      </c>
      <c r="C20" s="10">
        <v>3097179000</v>
      </c>
      <c r="D20">
        <f t="shared" si="0"/>
        <v>0.70112001065372465</v>
      </c>
      <c r="E20">
        <f t="shared" si="1"/>
        <v>7.0112001065372462</v>
      </c>
    </row>
    <row r="21" spans="1:11" x14ac:dyDescent="0.2">
      <c r="A21">
        <v>2012</v>
      </c>
      <c r="B21" s="8">
        <v>20417654</v>
      </c>
      <c r="C21" s="10">
        <v>3042044000</v>
      </c>
      <c r="D21">
        <f t="shared" si="0"/>
        <v>0.66670725405922093</v>
      </c>
      <c r="E21">
        <f t="shared" si="1"/>
        <v>6.6670725405922093</v>
      </c>
    </row>
    <row r="22" spans="1:11" x14ac:dyDescent="0.2">
      <c r="A22">
        <v>2013</v>
      </c>
      <c r="B22" s="8">
        <v>28554330</v>
      </c>
      <c r="C22" s="10">
        <v>3357984000</v>
      </c>
      <c r="D22">
        <f t="shared" si="0"/>
        <v>0.84317161707719401</v>
      </c>
      <c r="E22">
        <f t="shared" si="1"/>
        <v>8.4317161707719404</v>
      </c>
    </row>
    <row r="23" spans="1:11" x14ac:dyDescent="0.2">
      <c r="A23">
        <v>2014</v>
      </c>
      <c r="B23" s="8">
        <v>61766881</v>
      </c>
      <c r="C23" s="10">
        <v>3927090000</v>
      </c>
      <c r="D23">
        <f t="shared" si="0"/>
        <v>1.5484857652881028</v>
      </c>
      <c r="E23">
        <f t="shared" si="1"/>
        <v>15.484857652881027</v>
      </c>
    </row>
    <row r="24" spans="1:11" x14ac:dyDescent="0.2">
      <c r="A24">
        <v>2015</v>
      </c>
      <c r="B24" s="8">
        <v>43766000</v>
      </c>
      <c r="C24" s="10">
        <v>3926339000</v>
      </c>
      <c r="D24">
        <f t="shared" si="0"/>
        <v>1.1023889796365587</v>
      </c>
      <c r="E24">
        <f t="shared" si="1"/>
        <v>11.023889796365586</v>
      </c>
    </row>
    <row r="26" spans="1:11" x14ac:dyDescent="0.2">
      <c r="B26" t="s">
        <v>41</v>
      </c>
      <c r="I26" t="s">
        <v>46</v>
      </c>
    </row>
    <row r="27" spans="1:11" x14ac:dyDescent="0.2">
      <c r="B27" t="s">
        <v>50</v>
      </c>
      <c r="I27" t="s">
        <v>47</v>
      </c>
    </row>
    <row r="28" spans="1:11" x14ac:dyDescent="0.2">
      <c r="B28" t="s">
        <v>51</v>
      </c>
    </row>
  </sheetData>
  <mergeCells count="2">
    <mergeCell ref="A3:E3"/>
    <mergeCell ref="H3:J3"/>
  </mergeCells>
  <pageMargins left="0.25" right="0.25" top="0.75" bottom="0.75" header="0.3" footer="0.3"/>
  <pageSetup scale="85" fitToWidth="2" orientation="landscape" horizontalDpi="4294967295" verticalDpi="4294967295"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154"/>
  <sheetViews>
    <sheetView topLeftCell="A83" workbookViewId="0">
      <selection activeCell="C138" sqref="C138"/>
    </sheetView>
  </sheetViews>
  <sheetFormatPr baseColWidth="10" defaultColWidth="11" defaultRowHeight="16" x14ac:dyDescent="0.2"/>
  <cols>
    <col min="1" max="1" width="40.5" customWidth="1"/>
    <col min="2" max="2" width="16" customWidth="1"/>
    <col min="3" max="3" width="11.1640625" bestFit="1" customWidth="1"/>
    <col min="4" max="4" width="15.5" bestFit="1" customWidth="1"/>
    <col min="6" max="6" width="13.6640625" bestFit="1" customWidth="1"/>
    <col min="7" max="7" width="15.33203125" bestFit="1" customWidth="1"/>
  </cols>
  <sheetData>
    <row r="1" spans="1:2" x14ac:dyDescent="0.2">
      <c r="A1" s="15" t="s">
        <v>201</v>
      </c>
      <c r="B1" s="15"/>
    </row>
    <row r="2" spans="1:2" x14ac:dyDescent="0.2">
      <c r="A2" s="15"/>
      <c r="B2" s="15"/>
    </row>
    <row r="3" spans="1:2" x14ac:dyDescent="0.2">
      <c r="A3" s="15"/>
      <c r="B3" s="15"/>
    </row>
    <row r="4" spans="1:2" x14ac:dyDescent="0.2">
      <c r="A4" s="15"/>
      <c r="B4" s="15"/>
    </row>
    <row r="5" spans="1:2" x14ac:dyDescent="0.2">
      <c r="A5" s="15" t="s">
        <v>59</v>
      </c>
      <c r="B5" s="15"/>
    </row>
    <row r="6" spans="1:2" x14ac:dyDescent="0.2">
      <c r="A6" s="13" t="s">
        <v>60</v>
      </c>
      <c r="B6" s="17" t="s">
        <v>61</v>
      </c>
    </row>
    <row r="7" spans="1:2" x14ac:dyDescent="0.2">
      <c r="A7" s="15"/>
      <c r="B7" s="18" t="s">
        <v>64</v>
      </c>
    </row>
    <row r="8" spans="1:2" x14ac:dyDescent="0.2">
      <c r="A8" s="15" t="s">
        <v>62</v>
      </c>
      <c r="B8" s="19">
        <v>168462</v>
      </c>
    </row>
    <row r="9" spans="1:2" x14ac:dyDescent="0.2">
      <c r="A9" s="15" t="s">
        <v>63</v>
      </c>
      <c r="B9" s="19">
        <v>126346.5</v>
      </c>
    </row>
    <row r="10" spans="1:2" x14ac:dyDescent="0.2">
      <c r="A10" s="15"/>
      <c r="B10" s="15"/>
    </row>
    <row r="11" spans="1:2" x14ac:dyDescent="0.2">
      <c r="A11" s="15" t="s">
        <v>65</v>
      </c>
      <c r="B11" s="15" t="s">
        <v>66</v>
      </c>
    </row>
    <row r="12" spans="1:2" x14ac:dyDescent="0.2">
      <c r="A12" s="15" t="s">
        <v>67</v>
      </c>
      <c r="B12" s="15" t="s">
        <v>69</v>
      </c>
    </row>
    <row r="13" spans="1:2" x14ac:dyDescent="0.2">
      <c r="A13" s="15"/>
      <c r="B13" s="15" t="s">
        <v>68</v>
      </c>
    </row>
    <row r="14" spans="1:2" x14ac:dyDescent="0.2">
      <c r="A14" s="15"/>
      <c r="B14" s="15"/>
    </row>
    <row r="15" spans="1:2" x14ac:dyDescent="0.2">
      <c r="A15" s="13" t="s">
        <v>73</v>
      </c>
      <c r="B15" s="17" t="s">
        <v>61</v>
      </c>
    </row>
    <row r="16" spans="1:2" x14ac:dyDescent="0.2">
      <c r="A16" s="15"/>
      <c r="B16" s="18" t="s">
        <v>70</v>
      </c>
    </row>
    <row r="17" spans="1:2" x14ac:dyDescent="0.2">
      <c r="A17" s="15" t="s">
        <v>62</v>
      </c>
      <c r="B17" s="19">
        <v>164811</v>
      </c>
    </row>
    <row r="18" spans="1:2" x14ac:dyDescent="0.2">
      <c r="A18" s="15" t="s">
        <v>63</v>
      </c>
      <c r="B18" s="19">
        <v>164811</v>
      </c>
    </row>
    <row r="19" spans="1:2" x14ac:dyDescent="0.2">
      <c r="A19" s="15"/>
      <c r="B19" s="15"/>
    </row>
    <row r="20" spans="1:2" x14ac:dyDescent="0.2">
      <c r="A20" s="15" t="s">
        <v>65</v>
      </c>
      <c r="B20" s="15" t="s">
        <v>66</v>
      </c>
    </row>
    <row r="21" spans="1:2" x14ac:dyDescent="0.2">
      <c r="A21" s="15" t="s">
        <v>71</v>
      </c>
      <c r="B21" s="15" t="s">
        <v>69</v>
      </c>
    </row>
    <row r="22" spans="1:2" x14ac:dyDescent="0.2">
      <c r="A22" s="15"/>
      <c r="B22" s="15" t="s">
        <v>72</v>
      </c>
    </row>
    <row r="23" spans="1:2" x14ac:dyDescent="0.2">
      <c r="A23" s="15"/>
      <c r="B23" s="15"/>
    </row>
    <row r="24" spans="1:2" x14ac:dyDescent="0.2">
      <c r="A24" s="13" t="s">
        <v>74</v>
      </c>
      <c r="B24" s="17" t="s">
        <v>75</v>
      </c>
    </row>
    <row r="25" spans="1:2" x14ac:dyDescent="0.2">
      <c r="A25" s="15"/>
      <c r="B25" s="15" t="s">
        <v>76</v>
      </c>
    </row>
    <row r="26" spans="1:2" x14ac:dyDescent="0.2">
      <c r="A26" s="15" t="s">
        <v>62</v>
      </c>
      <c r="B26" s="19">
        <v>129159</v>
      </c>
    </row>
    <row r="27" spans="1:2" x14ac:dyDescent="0.2">
      <c r="A27" s="15" t="s">
        <v>63</v>
      </c>
      <c r="B27" s="19">
        <v>129159</v>
      </c>
    </row>
    <row r="28" spans="1:2" x14ac:dyDescent="0.2">
      <c r="A28" s="15"/>
      <c r="B28" s="15"/>
    </row>
    <row r="29" spans="1:2" x14ac:dyDescent="0.2">
      <c r="A29" s="15" t="s">
        <v>65</v>
      </c>
      <c r="B29" s="15" t="s">
        <v>77</v>
      </c>
    </row>
    <row r="30" spans="1:2" x14ac:dyDescent="0.2">
      <c r="A30" s="15" t="s">
        <v>79</v>
      </c>
      <c r="B30" s="15" t="s">
        <v>78</v>
      </c>
    </row>
    <row r="31" spans="1:2" x14ac:dyDescent="0.2">
      <c r="A31" s="15"/>
      <c r="B31" s="15"/>
    </row>
    <row r="32" spans="1:2" x14ac:dyDescent="0.2">
      <c r="A32" s="13" t="s">
        <v>90</v>
      </c>
      <c r="B32" s="17" t="s">
        <v>75</v>
      </c>
    </row>
    <row r="33" spans="1:2" x14ac:dyDescent="0.2">
      <c r="A33" s="15"/>
      <c r="B33" s="15" t="s">
        <v>76</v>
      </c>
    </row>
    <row r="34" spans="1:2" x14ac:dyDescent="0.2">
      <c r="A34" s="15" t="s">
        <v>62</v>
      </c>
      <c r="B34" s="19">
        <v>121196</v>
      </c>
    </row>
    <row r="35" spans="1:2" x14ac:dyDescent="0.2">
      <c r="A35" s="15" t="s">
        <v>63</v>
      </c>
      <c r="B35" s="19">
        <v>121196</v>
      </c>
    </row>
    <row r="36" spans="1:2" x14ac:dyDescent="0.2">
      <c r="A36" s="15"/>
      <c r="B36" s="15"/>
    </row>
    <row r="37" spans="1:2" x14ac:dyDescent="0.2">
      <c r="A37" s="15" t="s">
        <v>65</v>
      </c>
      <c r="B37" s="15" t="s">
        <v>77</v>
      </c>
    </row>
    <row r="38" spans="1:2" x14ac:dyDescent="0.2">
      <c r="A38" s="15" t="s">
        <v>79</v>
      </c>
      <c r="B38" s="15" t="s">
        <v>78</v>
      </c>
    </row>
    <row r="39" spans="1:2" x14ac:dyDescent="0.2">
      <c r="A39" s="15"/>
      <c r="B39" s="15"/>
    </row>
    <row r="40" spans="1:2" x14ac:dyDescent="0.2">
      <c r="A40" s="15"/>
      <c r="B40" s="15"/>
    </row>
    <row r="41" spans="1:2" x14ac:dyDescent="0.2">
      <c r="A41" s="13" t="s">
        <v>80</v>
      </c>
      <c r="B41" s="17" t="s">
        <v>61</v>
      </c>
    </row>
    <row r="42" spans="1:2" x14ac:dyDescent="0.2">
      <c r="A42" s="15"/>
      <c r="B42" s="15" t="s">
        <v>81</v>
      </c>
    </row>
    <row r="43" spans="1:2" x14ac:dyDescent="0.2">
      <c r="A43" s="15" t="s">
        <v>62</v>
      </c>
      <c r="B43" s="16">
        <v>100000</v>
      </c>
    </row>
    <row r="44" spans="1:2" x14ac:dyDescent="0.2">
      <c r="A44" s="15" t="s">
        <v>63</v>
      </c>
      <c r="B44" s="16">
        <v>50000</v>
      </c>
    </row>
    <row r="45" spans="1:2" x14ac:dyDescent="0.2">
      <c r="A45" s="15"/>
      <c r="B45" s="15"/>
    </row>
    <row r="46" spans="1:2" x14ac:dyDescent="0.2">
      <c r="A46" s="15" t="s">
        <v>65</v>
      </c>
      <c r="B46" s="15" t="s">
        <v>66</v>
      </c>
    </row>
    <row r="47" spans="1:2" x14ac:dyDescent="0.2">
      <c r="A47" s="15" t="s">
        <v>82</v>
      </c>
      <c r="B47" s="15" t="s">
        <v>83</v>
      </c>
    </row>
    <row r="48" spans="1:2" x14ac:dyDescent="0.2">
      <c r="A48" s="15"/>
      <c r="B48" s="15"/>
    </row>
    <row r="49" spans="1:2" x14ac:dyDescent="0.2">
      <c r="A49" s="15"/>
      <c r="B49" s="15"/>
    </row>
    <row r="50" spans="1:2" x14ac:dyDescent="0.2">
      <c r="A50" s="13" t="s">
        <v>86</v>
      </c>
      <c r="B50" s="17" t="s">
        <v>87</v>
      </c>
    </row>
    <row r="51" spans="1:2" x14ac:dyDescent="0.2">
      <c r="A51" s="15"/>
      <c r="B51" s="15" t="s">
        <v>88</v>
      </c>
    </row>
    <row r="52" spans="1:2" x14ac:dyDescent="0.2">
      <c r="A52" s="15" t="s">
        <v>62</v>
      </c>
      <c r="B52" s="16">
        <v>43000</v>
      </c>
    </row>
    <row r="53" spans="1:2" x14ac:dyDescent="0.2">
      <c r="A53" s="15" t="s">
        <v>63</v>
      </c>
      <c r="B53" s="16">
        <f>B52*0.5</f>
        <v>21500</v>
      </c>
    </row>
    <row r="54" spans="1:2" x14ac:dyDescent="0.2">
      <c r="A54" s="15"/>
      <c r="B54" s="15"/>
    </row>
    <row r="55" spans="1:2" x14ac:dyDescent="0.2">
      <c r="A55" s="15" t="s">
        <v>65</v>
      </c>
      <c r="B55" s="15" t="s">
        <v>89</v>
      </c>
    </row>
    <row r="56" spans="1:2" x14ac:dyDescent="0.2">
      <c r="A56" s="15"/>
      <c r="B56" s="15"/>
    </row>
    <row r="57" spans="1:2" x14ac:dyDescent="0.2">
      <c r="A57" s="13" t="s">
        <v>84</v>
      </c>
      <c r="B57" s="17" t="s">
        <v>61</v>
      </c>
    </row>
    <row r="58" spans="1:2" x14ac:dyDescent="0.2">
      <c r="A58" s="15"/>
      <c r="B58" s="15" t="s">
        <v>85</v>
      </c>
    </row>
    <row r="59" spans="1:2" x14ac:dyDescent="0.2">
      <c r="A59" s="15" t="s">
        <v>62</v>
      </c>
      <c r="B59" s="19">
        <v>180923</v>
      </c>
    </row>
    <row r="60" spans="1:2" x14ac:dyDescent="0.2">
      <c r="A60" s="15" t="s">
        <v>63</v>
      </c>
      <c r="B60" s="19">
        <f>B59*0.4</f>
        <v>72369.2</v>
      </c>
    </row>
    <row r="61" spans="1:2" x14ac:dyDescent="0.2">
      <c r="A61" s="15"/>
      <c r="B61" s="15"/>
    </row>
    <row r="62" spans="1:2" x14ac:dyDescent="0.2">
      <c r="A62" s="15" t="s">
        <v>65</v>
      </c>
      <c r="B62" s="15" t="s">
        <v>66</v>
      </c>
    </row>
    <row r="63" spans="1:2" x14ac:dyDescent="0.2">
      <c r="A63" s="15" t="s">
        <v>98</v>
      </c>
      <c r="B63" s="15" t="s">
        <v>91</v>
      </c>
    </row>
    <row r="64" spans="1:2" x14ac:dyDescent="0.2">
      <c r="A64" s="15"/>
      <c r="B64" s="15" t="s">
        <v>92</v>
      </c>
    </row>
    <row r="65" spans="1:2" x14ac:dyDescent="0.2">
      <c r="A65" s="15"/>
      <c r="B65" s="15"/>
    </row>
    <row r="66" spans="1:2" x14ac:dyDescent="0.2">
      <c r="A66" s="15"/>
      <c r="B66" s="15"/>
    </row>
    <row r="67" spans="1:2" x14ac:dyDescent="0.2">
      <c r="A67" s="13" t="s">
        <v>93</v>
      </c>
      <c r="B67" s="17" t="s">
        <v>61</v>
      </c>
    </row>
    <row r="68" spans="1:2" x14ac:dyDescent="0.2">
      <c r="A68" s="15"/>
      <c r="B68" s="15" t="s">
        <v>85</v>
      </c>
    </row>
    <row r="69" spans="1:2" x14ac:dyDescent="0.2">
      <c r="A69" s="15" t="s">
        <v>62</v>
      </c>
      <c r="B69" s="19">
        <v>163322</v>
      </c>
    </row>
    <row r="70" spans="1:2" x14ac:dyDescent="0.2">
      <c r="A70" s="15" t="s">
        <v>63</v>
      </c>
      <c r="B70" s="19">
        <f>B69*0.4</f>
        <v>65328.800000000003</v>
      </c>
    </row>
    <row r="71" spans="1:2" x14ac:dyDescent="0.2">
      <c r="A71" s="15"/>
      <c r="B71" s="15"/>
    </row>
    <row r="72" spans="1:2" x14ac:dyDescent="0.2">
      <c r="A72" s="15" t="s">
        <v>65</v>
      </c>
      <c r="B72" s="15" t="s">
        <v>66</v>
      </c>
    </row>
    <row r="73" spans="1:2" x14ac:dyDescent="0.2">
      <c r="A73" s="15" t="s">
        <v>98</v>
      </c>
      <c r="B73" s="15" t="s">
        <v>94</v>
      </c>
    </row>
    <row r="74" spans="1:2" x14ac:dyDescent="0.2">
      <c r="A74" s="15"/>
      <c r="B74" s="15" t="s">
        <v>95</v>
      </c>
    </row>
    <row r="75" spans="1:2" x14ac:dyDescent="0.2">
      <c r="A75" s="15"/>
      <c r="B75" s="15"/>
    </row>
    <row r="76" spans="1:2" x14ac:dyDescent="0.2">
      <c r="A76" s="13" t="s">
        <v>96</v>
      </c>
      <c r="B76" s="17" t="s">
        <v>61</v>
      </c>
    </row>
    <row r="77" spans="1:2" x14ac:dyDescent="0.2">
      <c r="A77" s="15"/>
      <c r="B77" s="15" t="s">
        <v>85</v>
      </c>
    </row>
    <row r="78" spans="1:2" x14ac:dyDescent="0.2">
      <c r="A78" s="15" t="s">
        <v>62</v>
      </c>
      <c r="B78" s="19">
        <v>195885</v>
      </c>
    </row>
    <row r="79" spans="1:2" x14ac:dyDescent="0.2">
      <c r="A79" s="15" t="s">
        <v>63</v>
      </c>
      <c r="B79" s="19">
        <f>B78*0.4</f>
        <v>78354</v>
      </c>
    </row>
    <row r="80" spans="1:2" x14ac:dyDescent="0.2">
      <c r="A80" s="15"/>
      <c r="B80" s="15"/>
    </row>
    <row r="81" spans="1:2" x14ac:dyDescent="0.2">
      <c r="A81" s="15" t="s">
        <v>65</v>
      </c>
      <c r="B81" s="15" t="s">
        <v>66</v>
      </c>
    </row>
    <row r="82" spans="1:2" x14ac:dyDescent="0.2">
      <c r="A82" s="15" t="s">
        <v>100</v>
      </c>
      <c r="B82" s="15" t="s">
        <v>97</v>
      </c>
    </row>
    <row r="83" spans="1:2" x14ac:dyDescent="0.2">
      <c r="A83" s="15"/>
      <c r="B83" s="15" t="s">
        <v>99</v>
      </c>
    </row>
    <row r="84" spans="1:2" x14ac:dyDescent="0.2">
      <c r="A84" s="15"/>
      <c r="B84" s="15"/>
    </row>
    <row r="85" spans="1:2" x14ac:dyDescent="0.2">
      <c r="A85" s="13" t="s">
        <v>122</v>
      </c>
      <c r="B85" s="17" t="s">
        <v>101</v>
      </c>
    </row>
    <row r="86" spans="1:2" x14ac:dyDescent="0.2">
      <c r="A86" s="15"/>
      <c r="B86" s="15" t="s">
        <v>102</v>
      </c>
    </row>
    <row r="87" spans="1:2" x14ac:dyDescent="0.2">
      <c r="A87" s="15"/>
      <c r="B87" s="15"/>
    </row>
    <row r="88" spans="1:2" x14ac:dyDescent="0.2">
      <c r="A88" s="15" t="s">
        <v>62</v>
      </c>
      <c r="B88" s="19">
        <v>15200</v>
      </c>
    </row>
    <row r="89" spans="1:2" x14ac:dyDescent="0.2">
      <c r="A89" s="15" t="s">
        <v>63</v>
      </c>
      <c r="B89" s="19">
        <f>B88*1</f>
        <v>15200</v>
      </c>
    </row>
    <row r="90" spans="1:2" x14ac:dyDescent="0.2">
      <c r="A90" s="15"/>
      <c r="B90" s="15"/>
    </row>
    <row r="91" spans="1:2" x14ac:dyDescent="0.2">
      <c r="A91" s="15" t="s">
        <v>65</v>
      </c>
      <c r="B91" s="15" t="s">
        <v>103</v>
      </c>
    </row>
    <row r="93" spans="1:2" x14ac:dyDescent="0.2">
      <c r="A93" s="13" t="s">
        <v>120</v>
      </c>
      <c r="B93" s="17" t="s">
        <v>61</v>
      </c>
    </row>
    <row r="94" spans="1:2" x14ac:dyDescent="0.2">
      <c r="A94" s="15"/>
      <c r="B94" s="15" t="s">
        <v>85</v>
      </c>
    </row>
    <row r="95" spans="1:2" x14ac:dyDescent="0.2">
      <c r="A95" s="15" t="s">
        <v>62</v>
      </c>
      <c r="B95" s="19">
        <v>195885</v>
      </c>
    </row>
    <row r="96" spans="1:2" x14ac:dyDescent="0.2">
      <c r="A96" s="15" t="s">
        <v>63</v>
      </c>
      <c r="B96" s="19">
        <f>B95*0.4</f>
        <v>78354</v>
      </c>
    </row>
    <row r="97" spans="1:2" x14ac:dyDescent="0.2">
      <c r="A97" s="15"/>
      <c r="B97" s="15"/>
    </row>
    <row r="98" spans="1:2" x14ac:dyDescent="0.2">
      <c r="A98" s="15" t="s">
        <v>65</v>
      </c>
      <c r="B98" s="15" t="s">
        <v>66</v>
      </c>
    </row>
    <row r="99" spans="1:2" x14ac:dyDescent="0.2">
      <c r="A99" s="15" t="s">
        <v>100</v>
      </c>
      <c r="B99" s="15" t="s">
        <v>97</v>
      </c>
    </row>
    <row r="100" spans="1:2" x14ac:dyDescent="0.2">
      <c r="A100" s="15"/>
      <c r="B100" s="15" t="s">
        <v>99</v>
      </c>
    </row>
    <row r="101" spans="1:2" x14ac:dyDescent="0.2">
      <c r="A101" s="15"/>
      <c r="B101" s="15"/>
    </row>
    <row r="102" spans="1:2" x14ac:dyDescent="0.2">
      <c r="A102" s="13" t="s">
        <v>121</v>
      </c>
      <c r="B102" s="17" t="s">
        <v>101</v>
      </c>
    </row>
    <row r="103" spans="1:2" x14ac:dyDescent="0.2">
      <c r="A103" s="15"/>
      <c r="B103" s="15" t="s">
        <v>102</v>
      </c>
    </row>
    <row r="104" spans="1:2" x14ac:dyDescent="0.2">
      <c r="A104" s="15"/>
      <c r="B104" s="15"/>
    </row>
    <row r="105" spans="1:2" x14ac:dyDescent="0.2">
      <c r="A105" s="15" t="s">
        <v>62</v>
      </c>
      <c r="B105" s="19">
        <v>15200</v>
      </c>
    </row>
    <row r="106" spans="1:2" x14ac:dyDescent="0.2">
      <c r="A106" s="15" t="s">
        <v>63</v>
      </c>
      <c r="B106" s="19">
        <f>B105*1</f>
        <v>15200</v>
      </c>
    </row>
    <row r="107" spans="1:2" x14ac:dyDescent="0.2">
      <c r="A107" s="15"/>
      <c r="B107" s="15"/>
    </row>
    <row r="108" spans="1:2" x14ac:dyDescent="0.2">
      <c r="A108" s="15" t="s">
        <v>65</v>
      </c>
      <c r="B108" s="15" t="s">
        <v>103</v>
      </c>
    </row>
    <row r="112" spans="1:2" x14ac:dyDescent="0.2">
      <c r="A112" s="14" t="s">
        <v>104</v>
      </c>
      <c r="B112" t="s">
        <v>105</v>
      </c>
    </row>
    <row r="113" spans="1:4" x14ac:dyDescent="0.2">
      <c r="A113" s="14" t="s">
        <v>106</v>
      </c>
      <c r="B113" t="s">
        <v>110</v>
      </c>
    </row>
    <row r="115" spans="1:4" x14ac:dyDescent="0.2">
      <c r="B115" s="14" t="s">
        <v>107</v>
      </c>
      <c r="C115" s="14" t="s">
        <v>108</v>
      </c>
      <c r="D115" s="14" t="s">
        <v>109</v>
      </c>
    </row>
    <row r="116" spans="1:4" x14ac:dyDescent="0.2">
      <c r="A116" s="13" t="s">
        <v>60</v>
      </c>
      <c r="B116">
        <v>1</v>
      </c>
      <c r="C116">
        <v>8</v>
      </c>
      <c r="D116">
        <v>8</v>
      </c>
    </row>
    <row r="117" spans="1:4" x14ac:dyDescent="0.2">
      <c r="A117" s="13" t="s">
        <v>73</v>
      </c>
      <c r="B117">
        <v>1</v>
      </c>
      <c r="C117">
        <v>4</v>
      </c>
      <c r="D117">
        <v>4</v>
      </c>
    </row>
    <row r="118" spans="1:4" x14ac:dyDescent="0.2">
      <c r="A118" s="13" t="s">
        <v>74</v>
      </c>
      <c r="B118">
        <v>1</v>
      </c>
      <c r="C118">
        <v>1</v>
      </c>
      <c r="D118">
        <v>1</v>
      </c>
    </row>
    <row r="119" spans="1:4" x14ac:dyDescent="0.2">
      <c r="A119" s="13" t="s">
        <v>90</v>
      </c>
      <c r="B119">
        <v>1</v>
      </c>
      <c r="C119">
        <v>1</v>
      </c>
      <c r="D119">
        <v>1</v>
      </c>
    </row>
    <row r="120" spans="1:4" x14ac:dyDescent="0.2">
      <c r="A120" s="13" t="s">
        <v>80</v>
      </c>
      <c r="B120">
        <v>1</v>
      </c>
      <c r="C120">
        <v>5</v>
      </c>
      <c r="D120">
        <v>5</v>
      </c>
    </row>
    <row r="121" spans="1:4" x14ac:dyDescent="0.2">
      <c r="A121" s="13" t="s">
        <v>86</v>
      </c>
      <c r="B121">
        <v>1</v>
      </c>
      <c r="C121">
        <v>1</v>
      </c>
      <c r="D121">
        <v>1</v>
      </c>
    </row>
    <row r="122" spans="1:4" x14ac:dyDescent="0.2">
      <c r="A122" s="13" t="s">
        <v>84</v>
      </c>
      <c r="B122">
        <v>1</v>
      </c>
      <c r="C122">
        <v>8</v>
      </c>
      <c r="D122">
        <v>8</v>
      </c>
    </row>
    <row r="123" spans="1:4" x14ac:dyDescent="0.2">
      <c r="A123" s="13" t="s">
        <v>93</v>
      </c>
      <c r="B123">
        <v>1</v>
      </c>
      <c r="C123">
        <v>7</v>
      </c>
      <c r="D123">
        <v>7</v>
      </c>
    </row>
    <row r="124" spans="1:4" x14ac:dyDescent="0.2">
      <c r="A124" s="13" t="s">
        <v>96</v>
      </c>
      <c r="B124">
        <v>1</v>
      </c>
      <c r="C124">
        <v>6</v>
      </c>
      <c r="D124">
        <v>6</v>
      </c>
    </row>
    <row r="125" spans="1:4" x14ac:dyDescent="0.2">
      <c r="A125" s="13" t="s">
        <v>122</v>
      </c>
      <c r="B125">
        <v>1</v>
      </c>
      <c r="C125">
        <v>1</v>
      </c>
      <c r="D125">
        <v>1</v>
      </c>
    </row>
    <row r="126" spans="1:4" x14ac:dyDescent="0.2">
      <c r="A126" s="13" t="s">
        <v>120</v>
      </c>
      <c r="B126">
        <v>1</v>
      </c>
      <c r="C126">
        <v>6</v>
      </c>
      <c r="D126">
        <v>6</v>
      </c>
    </row>
    <row r="127" spans="1:4" x14ac:dyDescent="0.2">
      <c r="A127" s="13" t="s">
        <v>121</v>
      </c>
      <c r="B127">
        <v>1</v>
      </c>
      <c r="C127">
        <v>1</v>
      </c>
      <c r="D127">
        <v>1</v>
      </c>
    </row>
    <row r="131" spans="1:7" x14ac:dyDescent="0.2">
      <c r="A131" s="14" t="s">
        <v>111</v>
      </c>
      <c r="B131" t="s">
        <v>119</v>
      </c>
    </row>
    <row r="132" spans="1:7" x14ac:dyDescent="0.2">
      <c r="A132" t="s">
        <v>112</v>
      </c>
      <c r="B132" t="s">
        <v>113</v>
      </c>
    </row>
    <row r="133" spans="1:7" x14ac:dyDescent="0.2">
      <c r="B133" s="99" t="s">
        <v>114</v>
      </c>
      <c r="C133" s="99"/>
      <c r="D133" s="99"/>
      <c r="E133" s="99" t="s">
        <v>118</v>
      </c>
      <c r="F133" s="99"/>
      <c r="G133" s="99"/>
    </row>
    <row r="134" spans="1:7" x14ac:dyDescent="0.2">
      <c r="B134" t="s">
        <v>115</v>
      </c>
      <c r="C134" t="s">
        <v>116</v>
      </c>
      <c r="D134" t="s">
        <v>117</v>
      </c>
      <c r="E134" t="s">
        <v>115</v>
      </c>
      <c r="F134" t="s">
        <v>116</v>
      </c>
      <c r="G134" t="s">
        <v>117</v>
      </c>
    </row>
    <row r="135" spans="1:7" x14ac:dyDescent="0.2">
      <c r="B135" s="10">
        <v>122485</v>
      </c>
      <c r="C135" s="3">
        <v>0.3</v>
      </c>
      <c r="D135">
        <f>B135*C135+B135</f>
        <v>159230.5</v>
      </c>
      <c r="E135" s="20">
        <v>58281</v>
      </c>
      <c r="F135" s="3">
        <v>0.3</v>
      </c>
      <c r="G135" s="21">
        <f>E135*F135+E135</f>
        <v>75765.3</v>
      </c>
    </row>
    <row r="137" spans="1:7" x14ac:dyDescent="0.2">
      <c r="B137" s="14" t="s">
        <v>107</v>
      </c>
      <c r="C137" s="14" t="s">
        <v>108</v>
      </c>
      <c r="D137" s="14" t="s">
        <v>109</v>
      </c>
    </row>
    <row r="138" spans="1:7" x14ac:dyDescent="0.2">
      <c r="A138" s="13" t="s">
        <v>60</v>
      </c>
      <c r="B138">
        <v>1</v>
      </c>
      <c r="C138" s="46">
        <f>((D135*1.5)*0.05)*8</f>
        <v>95538.3</v>
      </c>
      <c r="D138" s="46">
        <f>((G135)*0.05)*8</f>
        <v>30306.120000000003</v>
      </c>
    </row>
    <row r="139" spans="1:7" x14ac:dyDescent="0.2">
      <c r="A139" s="13" t="s">
        <v>73</v>
      </c>
      <c r="B139">
        <v>1</v>
      </c>
      <c r="C139" s="46">
        <f>((D135*1.5)*0.05)*4</f>
        <v>47769.15</v>
      </c>
      <c r="D139" s="46">
        <f>((G135)*0.05)*4</f>
        <v>15153.060000000001</v>
      </c>
    </row>
    <row r="140" spans="1:7" x14ac:dyDescent="0.2">
      <c r="A140" s="13" t="s">
        <v>74</v>
      </c>
      <c r="B140">
        <v>1</v>
      </c>
      <c r="C140" s="46">
        <f>((D135*1.5)*0.05)*1</f>
        <v>11942.2875</v>
      </c>
      <c r="D140" s="46">
        <f>((G135)*0.05)*1</f>
        <v>3788.2650000000003</v>
      </c>
    </row>
    <row r="141" spans="1:7" x14ac:dyDescent="0.2">
      <c r="A141" s="13" t="s">
        <v>90</v>
      </c>
      <c r="B141">
        <v>1</v>
      </c>
      <c r="C141" s="46">
        <f>((D135)*0.05)*1</f>
        <v>7961.5250000000005</v>
      </c>
      <c r="D141" s="46">
        <f>((G135)*0.05)*1</f>
        <v>3788.2650000000003</v>
      </c>
    </row>
    <row r="142" spans="1:7" x14ac:dyDescent="0.2">
      <c r="A142" s="13" t="s">
        <v>80</v>
      </c>
      <c r="B142">
        <v>1</v>
      </c>
      <c r="C142" s="46">
        <f>((D135)*0.05)*5</f>
        <v>39807.625</v>
      </c>
      <c r="D142" s="46">
        <f>((G135)*0.05)*5</f>
        <v>18941.325000000001</v>
      </c>
    </row>
    <row r="143" spans="1:7" x14ac:dyDescent="0.2">
      <c r="A143" s="13" t="s">
        <v>86</v>
      </c>
      <c r="B143">
        <v>1</v>
      </c>
      <c r="C143" s="46">
        <f>((D135)*0.05)*1</f>
        <v>7961.5250000000005</v>
      </c>
      <c r="D143" s="46">
        <f>((G135)*0.05)*1</f>
        <v>3788.2650000000003</v>
      </c>
    </row>
    <row r="144" spans="1:7" x14ac:dyDescent="0.2">
      <c r="A144" s="13" t="s">
        <v>84</v>
      </c>
      <c r="B144">
        <v>1</v>
      </c>
      <c r="C144" s="46">
        <f>((D135)*0.05)*8</f>
        <v>63692.200000000004</v>
      </c>
      <c r="D144" s="46">
        <f>((G135)*0.05)*8</f>
        <v>30306.120000000003</v>
      </c>
    </row>
    <row r="145" spans="1:6" x14ac:dyDescent="0.2">
      <c r="A145" s="13" t="s">
        <v>93</v>
      </c>
      <c r="B145">
        <v>1</v>
      </c>
      <c r="C145" s="46">
        <f>((D135)*0.05)*7</f>
        <v>55730.675000000003</v>
      </c>
      <c r="D145" s="46">
        <f>((G135)*0.05)*7</f>
        <v>26517.855000000003</v>
      </c>
    </row>
    <row r="146" spans="1:6" x14ac:dyDescent="0.2">
      <c r="A146" s="13" t="s">
        <v>96</v>
      </c>
      <c r="B146">
        <v>1</v>
      </c>
      <c r="C146" s="46">
        <f>((D135)*0.05)*6</f>
        <v>47769.15</v>
      </c>
      <c r="D146" s="46">
        <f>((G135)*0.05)*6</f>
        <v>22729.590000000004</v>
      </c>
    </row>
    <row r="147" spans="1:6" x14ac:dyDescent="0.2">
      <c r="A147" s="13" t="s">
        <v>122</v>
      </c>
      <c r="B147">
        <v>1</v>
      </c>
      <c r="C147" s="46">
        <f>((D135)*0.05)*1</f>
        <v>7961.5250000000005</v>
      </c>
      <c r="D147" s="46">
        <f>((G135)*0.05)*1</f>
        <v>3788.2650000000003</v>
      </c>
    </row>
    <row r="148" spans="1:6" x14ac:dyDescent="0.2">
      <c r="A148" s="13" t="s">
        <v>120</v>
      </c>
      <c r="B148">
        <v>1</v>
      </c>
      <c r="C148" s="46">
        <f>((D135)*0.05)*6</f>
        <v>47769.15</v>
      </c>
      <c r="D148" s="46">
        <f>((G135)*0.05)*6</f>
        <v>22729.590000000004</v>
      </c>
    </row>
    <row r="149" spans="1:6" x14ac:dyDescent="0.2">
      <c r="A149" s="13" t="s">
        <v>121</v>
      </c>
      <c r="B149">
        <v>1</v>
      </c>
      <c r="C149" s="46">
        <f>((D135)*0.05)*1</f>
        <v>7961.5250000000005</v>
      </c>
      <c r="D149" s="46">
        <f>((G135)*0.05)*1</f>
        <v>3788.2650000000003</v>
      </c>
      <c r="F149" s="46">
        <f>((C149+D149)*1.5)</f>
        <v>17624.685000000001</v>
      </c>
    </row>
    <row r="150" spans="1:6" x14ac:dyDescent="0.2">
      <c r="C150" s="46"/>
      <c r="D150" s="46"/>
    </row>
    <row r="151" spans="1:6" x14ac:dyDescent="0.2">
      <c r="A151" s="22" t="s">
        <v>123</v>
      </c>
      <c r="C151" s="46">
        <f>SUM(C138:C149)</f>
        <v>441864.63750000007</v>
      </c>
      <c r="D151" s="46">
        <f>SUM(D138:D149)</f>
        <v>185624.98500000004</v>
      </c>
    </row>
    <row r="152" spans="1:6" x14ac:dyDescent="0.2">
      <c r="A152" s="22" t="s">
        <v>124</v>
      </c>
      <c r="C152" s="46">
        <f>C151*0.5</f>
        <v>220932.31875000003</v>
      </c>
      <c r="D152" s="46">
        <f>D151*0.5</f>
        <v>92812.492500000022</v>
      </c>
    </row>
    <row r="153" spans="1:6" x14ac:dyDescent="0.2">
      <c r="A153" s="23" t="s">
        <v>125</v>
      </c>
      <c r="C153" s="46">
        <f>SUM(C151:C152)</f>
        <v>662796.95625000005</v>
      </c>
      <c r="D153" s="46">
        <f>SUM(D151:D152)</f>
        <v>278437.47750000004</v>
      </c>
    </row>
    <row r="154" spans="1:6" x14ac:dyDescent="0.2">
      <c r="A154" s="24" t="s">
        <v>126</v>
      </c>
      <c r="C154" s="46">
        <f>SUM(C153,D153)</f>
        <v>941234.43375000008</v>
      </c>
      <c r="D154" s="46"/>
    </row>
  </sheetData>
  <mergeCells count="2">
    <mergeCell ref="B133:D133"/>
    <mergeCell ref="E133:G133"/>
  </mergeCells>
  <pageMargins left="0.7" right="0.7" top="0.75" bottom="0.75" header="0.3" footer="0.3"/>
  <pageSetup scale="50" fitToHeight="4" orientation="landscape" horizontalDpi="0" verticalDpi="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76"/>
  <sheetViews>
    <sheetView topLeftCell="A32" workbookViewId="0">
      <selection activeCell="B49" sqref="B49"/>
    </sheetView>
  </sheetViews>
  <sheetFormatPr baseColWidth="10" defaultColWidth="11" defaultRowHeight="16" x14ac:dyDescent="0.2"/>
  <cols>
    <col min="1" max="1" width="40" customWidth="1"/>
    <col min="2" max="2" width="17" customWidth="1"/>
    <col min="3" max="3" width="42.33203125" bestFit="1" customWidth="1"/>
    <col min="4" max="4" width="15.33203125" bestFit="1" customWidth="1"/>
    <col min="5" max="5" width="11.6640625" bestFit="1" customWidth="1"/>
    <col min="10" max="10" width="15.33203125" bestFit="1" customWidth="1"/>
  </cols>
  <sheetData>
    <row r="1" spans="1:10" x14ac:dyDescent="0.2">
      <c r="A1" t="s">
        <v>128</v>
      </c>
    </row>
    <row r="4" spans="1:10" x14ac:dyDescent="0.2">
      <c r="A4" s="14" t="s">
        <v>111</v>
      </c>
    </row>
    <row r="5" spans="1:10" x14ac:dyDescent="0.2">
      <c r="A5" t="s">
        <v>112</v>
      </c>
      <c r="B5" t="s">
        <v>113</v>
      </c>
    </row>
    <row r="6" spans="1:10" x14ac:dyDescent="0.2">
      <c r="B6" s="99" t="s">
        <v>114</v>
      </c>
      <c r="C6" s="99"/>
      <c r="D6" s="99"/>
      <c r="E6" s="99" t="s">
        <v>118</v>
      </c>
      <c r="F6" s="99"/>
      <c r="G6" s="99"/>
      <c r="H6" s="99" t="s">
        <v>127</v>
      </c>
      <c r="I6" s="99"/>
      <c r="J6" s="99"/>
    </row>
    <row r="7" spans="1:10" x14ac:dyDescent="0.2">
      <c r="B7" t="s">
        <v>115</v>
      </c>
      <c r="C7" t="s">
        <v>116</v>
      </c>
      <c r="D7" t="s">
        <v>117</v>
      </c>
      <c r="E7" t="s">
        <v>115</v>
      </c>
      <c r="F7" t="s">
        <v>116</v>
      </c>
      <c r="G7" t="s">
        <v>117</v>
      </c>
      <c r="H7" t="s">
        <v>115</v>
      </c>
      <c r="I7" t="s">
        <v>116</v>
      </c>
      <c r="J7" t="s">
        <v>117</v>
      </c>
    </row>
    <row r="8" spans="1:10" x14ac:dyDescent="0.2">
      <c r="B8" s="10">
        <v>122485</v>
      </c>
      <c r="C8" s="3">
        <v>0.3</v>
      </c>
      <c r="D8">
        <f>B8*C8+B8</f>
        <v>159230.5</v>
      </c>
      <c r="E8" s="20">
        <v>58281</v>
      </c>
      <c r="F8" s="3">
        <v>0.3</v>
      </c>
      <c r="G8" s="21">
        <f>E8*F8+E8</f>
        <v>75765.3</v>
      </c>
      <c r="H8">
        <v>69307.31578947368</v>
      </c>
      <c r="I8" s="3">
        <v>0.3</v>
      </c>
      <c r="J8" s="21">
        <f>H8*I8+H8</f>
        <v>90099.510526315775</v>
      </c>
    </row>
    <row r="11" spans="1:10" x14ac:dyDescent="0.2">
      <c r="A11" s="25" t="s">
        <v>129</v>
      </c>
      <c r="B11" t="s">
        <v>130</v>
      </c>
    </row>
    <row r="13" spans="1:10" x14ac:dyDescent="0.2">
      <c r="C13" t="s">
        <v>137</v>
      </c>
    </row>
    <row r="14" spans="1:10" x14ac:dyDescent="0.2">
      <c r="B14" s="22" t="s">
        <v>131</v>
      </c>
      <c r="C14">
        <f>33*20</f>
        <v>660</v>
      </c>
    </row>
    <row r="15" spans="1:10" ht="34" x14ac:dyDescent="0.2">
      <c r="B15" s="11" t="s">
        <v>132</v>
      </c>
      <c r="C15" s="21">
        <f>J8</f>
        <v>90099.510526315775</v>
      </c>
    </row>
    <row r="16" spans="1:10" ht="51" x14ac:dyDescent="0.2">
      <c r="B16" s="11" t="s">
        <v>133</v>
      </c>
      <c r="C16" s="21">
        <f>C15*0.02</f>
        <v>1801.9902105263154</v>
      </c>
    </row>
    <row r="17" spans="1:3" ht="34" x14ac:dyDescent="0.2">
      <c r="B17" s="11" t="s">
        <v>134</v>
      </c>
      <c r="C17" s="21">
        <f>C16*C14</f>
        <v>1189313.5389473683</v>
      </c>
    </row>
    <row r="18" spans="1:3" x14ac:dyDescent="0.2">
      <c r="B18" t="s">
        <v>135</v>
      </c>
      <c r="C18" s="21">
        <f>C17*0.5</f>
        <v>594656.76947368414</v>
      </c>
    </row>
    <row r="19" spans="1:3" ht="34" x14ac:dyDescent="0.2">
      <c r="B19" s="11" t="s">
        <v>136</v>
      </c>
      <c r="C19" s="21">
        <f>SUM(C17:C18)</f>
        <v>1783970.3084210525</v>
      </c>
    </row>
    <row r="22" spans="1:3" x14ac:dyDescent="0.2">
      <c r="A22" s="25" t="s">
        <v>139</v>
      </c>
      <c r="B22" s="22" t="s">
        <v>138</v>
      </c>
    </row>
    <row r="24" spans="1:3" x14ac:dyDescent="0.2">
      <c r="A24" s="26" t="s">
        <v>140</v>
      </c>
      <c r="B24" s="22" t="s">
        <v>141</v>
      </c>
    </row>
    <row r="25" spans="1:3" x14ac:dyDescent="0.2">
      <c r="A25" s="13" t="s">
        <v>60</v>
      </c>
      <c r="B25" s="19">
        <v>126346.5</v>
      </c>
    </row>
    <row r="26" spans="1:3" x14ac:dyDescent="0.2">
      <c r="A26" s="13" t="s">
        <v>73</v>
      </c>
      <c r="B26" s="19">
        <v>164811</v>
      </c>
    </row>
    <row r="27" spans="1:3" x14ac:dyDescent="0.2">
      <c r="A27" s="13" t="s">
        <v>74</v>
      </c>
      <c r="B27" s="19">
        <v>129159</v>
      </c>
    </row>
    <row r="28" spans="1:3" x14ac:dyDescent="0.2">
      <c r="A28" s="13" t="s">
        <v>90</v>
      </c>
      <c r="B28" s="19">
        <v>121196</v>
      </c>
    </row>
    <row r="29" spans="1:3" x14ac:dyDescent="0.2">
      <c r="A29" s="13" t="s">
        <v>80</v>
      </c>
      <c r="B29" s="16">
        <v>50000</v>
      </c>
    </row>
    <row r="30" spans="1:3" x14ac:dyDescent="0.2">
      <c r="A30" s="13" t="s">
        <v>86</v>
      </c>
      <c r="B30">
        <v>21500</v>
      </c>
    </row>
    <row r="31" spans="1:3" x14ac:dyDescent="0.2">
      <c r="A31" s="13" t="s">
        <v>84</v>
      </c>
      <c r="B31">
        <v>72369.2</v>
      </c>
    </row>
    <row r="32" spans="1:3" x14ac:dyDescent="0.2">
      <c r="A32" s="13" t="s">
        <v>93</v>
      </c>
      <c r="B32">
        <v>65328.800000000003</v>
      </c>
    </row>
    <row r="33" spans="1:4" x14ac:dyDescent="0.2">
      <c r="A33" s="13" t="s">
        <v>96</v>
      </c>
      <c r="B33" s="19">
        <v>78354</v>
      </c>
    </row>
    <row r="34" spans="1:4" x14ac:dyDescent="0.2">
      <c r="A34" s="13" t="s">
        <v>122</v>
      </c>
      <c r="B34">
        <v>15200</v>
      </c>
    </row>
    <row r="35" spans="1:4" x14ac:dyDescent="0.2">
      <c r="A35" s="13" t="s">
        <v>120</v>
      </c>
      <c r="B35">
        <v>78354</v>
      </c>
    </row>
    <row r="36" spans="1:4" x14ac:dyDescent="0.2">
      <c r="A36" s="13" t="s">
        <v>121</v>
      </c>
      <c r="B36">
        <v>15200</v>
      </c>
    </row>
    <row r="38" spans="1:4" x14ac:dyDescent="0.2">
      <c r="A38" s="13" t="s">
        <v>142</v>
      </c>
      <c r="B38" s="12">
        <f>SUM(B25:B36)</f>
        <v>937818.5</v>
      </c>
    </row>
    <row r="42" spans="1:4" x14ac:dyDescent="0.2">
      <c r="A42" s="29" t="s">
        <v>38</v>
      </c>
      <c r="B42" s="28" t="s">
        <v>143</v>
      </c>
      <c r="C42" s="26" t="s">
        <v>144</v>
      </c>
      <c r="D42" s="27" t="s">
        <v>145</v>
      </c>
    </row>
    <row r="43" spans="1:4" x14ac:dyDescent="0.2">
      <c r="A43">
        <v>2014</v>
      </c>
      <c r="B43" s="12">
        <f>B25</f>
        <v>126346.5</v>
      </c>
      <c r="C43" s="12">
        <f>SUM('Research Costs'!C138:D138)</f>
        <v>125844.42000000001</v>
      </c>
      <c r="D43" s="12">
        <f>B43+C43</f>
        <v>252190.92</v>
      </c>
    </row>
    <row r="44" spans="1:4" x14ac:dyDescent="0.2">
      <c r="A44">
        <v>2015</v>
      </c>
      <c r="B44" s="12">
        <f>SUM(B26:B27)</f>
        <v>293970</v>
      </c>
      <c r="C44" s="12">
        <f>SUM('Research Costs'!C139:D139+'Research Costs'!C140:D140)</f>
        <v>59711.4375</v>
      </c>
      <c r="D44" s="12">
        <f t="shared" ref="D44:D49" si="0">B44+C44</f>
        <v>353681.4375</v>
      </c>
    </row>
    <row r="45" spans="1:4" x14ac:dyDescent="0.2">
      <c r="A45">
        <v>2016</v>
      </c>
      <c r="B45" s="12">
        <f>SUM(B28:B30)</f>
        <v>192696</v>
      </c>
      <c r="C45" s="12">
        <f>SUM('Research Costs'!C141:D143)</f>
        <v>82248.53</v>
      </c>
      <c r="D45" s="12">
        <f t="shared" si="0"/>
        <v>274944.53000000003</v>
      </c>
    </row>
    <row r="46" spans="1:4" x14ac:dyDescent="0.2">
      <c r="A46">
        <v>2017</v>
      </c>
      <c r="B46" s="12">
        <f>SUM(B31)</f>
        <v>72369.2</v>
      </c>
      <c r="C46" s="12">
        <f>SUM('Research Costs'!C144:D144)</f>
        <v>93998.32</v>
      </c>
      <c r="D46" s="12">
        <f t="shared" si="0"/>
        <v>166367.52000000002</v>
      </c>
    </row>
    <row r="47" spans="1:4" x14ac:dyDescent="0.2">
      <c r="A47">
        <v>2018</v>
      </c>
      <c r="B47" s="12">
        <f>SUM(B32)</f>
        <v>65328.800000000003</v>
      </c>
      <c r="C47" s="12">
        <f>SUM('Research Costs'!C145:D145)</f>
        <v>82248.53</v>
      </c>
      <c r="D47" s="12">
        <f t="shared" si="0"/>
        <v>147577.33000000002</v>
      </c>
    </row>
    <row r="48" spans="1:4" x14ac:dyDescent="0.2">
      <c r="A48">
        <v>2019</v>
      </c>
      <c r="B48" s="12">
        <f>SUM(B33:B34)</f>
        <v>93554</v>
      </c>
      <c r="C48" s="12">
        <f>SUM('Research Costs'!C146:D147)</f>
        <v>82248.53</v>
      </c>
      <c r="D48" s="12">
        <f t="shared" si="0"/>
        <v>175802.53</v>
      </c>
    </row>
    <row r="49" spans="1:5" x14ac:dyDescent="0.2">
      <c r="A49">
        <v>2020</v>
      </c>
      <c r="B49" s="12">
        <f>SUM(B35:B36)</f>
        <v>93554</v>
      </c>
      <c r="C49" s="12">
        <f>SUM('Research Costs'!C148:D149)</f>
        <v>82248.53</v>
      </c>
      <c r="D49" s="12">
        <f t="shared" si="0"/>
        <v>175802.53</v>
      </c>
    </row>
    <row r="55" spans="1:5" x14ac:dyDescent="0.2">
      <c r="A55" s="25" t="s">
        <v>146</v>
      </c>
      <c r="B55" s="30"/>
      <c r="C55" s="31"/>
      <c r="D55" s="31"/>
    </row>
    <row r="56" spans="1:5" x14ac:dyDescent="0.2">
      <c r="A56" s="29" t="s">
        <v>38</v>
      </c>
      <c r="B56" s="30" t="s">
        <v>147</v>
      </c>
      <c r="C56" s="31" t="s">
        <v>148</v>
      </c>
      <c r="D56" s="31" t="s">
        <v>141</v>
      </c>
      <c r="E56" s="13" t="s">
        <v>267</v>
      </c>
    </row>
    <row r="57" spans="1:5" x14ac:dyDescent="0.2">
      <c r="A57">
        <v>2014</v>
      </c>
      <c r="B57" s="12">
        <f>D43</f>
        <v>252190.92</v>
      </c>
      <c r="C57">
        <v>0</v>
      </c>
      <c r="D57" s="12">
        <f>B57+C57</f>
        <v>252190.92</v>
      </c>
    </row>
    <row r="58" spans="1:5" x14ac:dyDescent="0.2">
      <c r="A58">
        <v>2015</v>
      </c>
      <c r="B58" s="12">
        <f t="shared" ref="B58:B63" si="1">D44</f>
        <v>353681.4375</v>
      </c>
      <c r="C58">
        <v>0</v>
      </c>
      <c r="D58" s="12">
        <f t="shared" ref="D58:D75" si="2">B58+C58</f>
        <v>353681.4375</v>
      </c>
    </row>
    <row r="59" spans="1:5" x14ac:dyDescent="0.2">
      <c r="A59">
        <v>2016</v>
      </c>
      <c r="B59" s="12">
        <f t="shared" si="1"/>
        <v>274944.53000000003</v>
      </c>
      <c r="C59">
        <v>0</v>
      </c>
      <c r="D59" s="12">
        <f t="shared" si="2"/>
        <v>274944.53000000003</v>
      </c>
    </row>
    <row r="60" spans="1:5" x14ac:dyDescent="0.2">
      <c r="A60">
        <v>2017</v>
      </c>
      <c r="B60" s="12">
        <f t="shared" si="1"/>
        <v>166367.52000000002</v>
      </c>
      <c r="C60">
        <v>0</v>
      </c>
      <c r="D60" s="12">
        <f t="shared" si="2"/>
        <v>166367.52000000002</v>
      </c>
    </row>
    <row r="61" spans="1:5" x14ac:dyDescent="0.2">
      <c r="A61">
        <v>2018</v>
      </c>
      <c r="B61" s="12">
        <f t="shared" si="1"/>
        <v>147577.33000000002</v>
      </c>
      <c r="C61">
        <v>0</v>
      </c>
      <c r="D61" s="12">
        <f t="shared" si="2"/>
        <v>147577.33000000002</v>
      </c>
      <c r="E61" s="12">
        <f>SUM(D57:D61)</f>
        <v>1194761.7375</v>
      </c>
    </row>
    <row r="62" spans="1:5" x14ac:dyDescent="0.2">
      <c r="A62">
        <v>2019</v>
      </c>
      <c r="B62" s="12">
        <f t="shared" si="1"/>
        <v>175802.53</v>
      </c>
      <c r="C62" s="21">
        <f>C19</f>
        <v>1783970.3084210525</v>
      </c>
      <c r="D62" s="12">
        <f t="shared" si="2"/>
        <v>1959772.8384210526</v>
      </c>
      <c r="E62" s="12">
        <f>D62</f>
        <v>1959772.8384210526</v>
      </c>
    </row>
    <row r="63" spans="1:5" x14ac:dyDescent="0.2">
      <c r="A63">
        <v>2020</v>
      </c>
      <c r="B63" s="12">
        <f t="shared" si="1"/>
        <v>175802.53</v>
      </c>
      <c r="C63" s="21">
        <f>C19</f>
        <v>1783970.3084210525</v>
      </c>
      <c r="D63" s="12">
        <f t="shared" si="2"/>
        <v>1959772.8384210526</v>
      </c>
      <c r="E63" s="12">
        <f t="shared" ref="E63:E75" si="3">D63</f>
        <v>1959772.8384210526</v>
      </c>
    </row>
    <row r="64" spans="1:5" x14ac:dyDescent="0.2">
      <c r="A64">
        <v>2021</v>
      </c>
      <c r="B64">
        <v>0</v>
      </c>
      <c r="C64" s="21">
        <f>C19</f>
        <v>1783970.3084210525</v>
      </c>
      <c r="D64" s="12">
        <f t="shared" si="2"/>
        <v>1783970.3084210525</v>
      </c>
      <c r="E64" s="12">
        <f t="shared" si="3"/>
        <v>1783970.3084210525</v>
      </c>
    </row>
    <row r="65" spans="1:5" x14ac:dyDescent="0.2">
      <c r="A65">
        <v>2022</v>
      </c>
      <c r="B65">
        <v>0</v>
      </c>
      <c r="C65" s="21">
        <f>C19</f>
        <v>1783970.3084210525</v>
      </c>
      <c r="D65" s="12">
        <f t="shared" si="2"/>
        <v>1783970.3084210525</v>
      </c>
      <c r="E65" s="12">
        <f t="shared" si="3"/>
        <v>1783970.3084210525</v>
      </c>
    </row>
    <row r="66" spans="1:5" x14ac:dyDescent="0.2">
      <c r="A66">
        <v>2023</v>
      </c>
      <c r="B66">
        <v>0</v>
      </c>
      <c r="C66" s="21">
        <f>C19</f>
        <v>1783970.3084210525</v>
      </c>
      <c r="D66" s="12">
        <f t="shared" si="2"/>
        <v>1783970.3084210525</v>
      </c>
      <c r="E66" s="12">
        <f t="shared" si="3"/>
        <v>1783970.3084210525</v>
      </c>
    </row>
    <row r="67" spans="1:5" x14ac:dyDescent="0.2">
      <c r="A67">
        <v>2024</v>
      </c>
      <c r="B67">
        <v>0</v>
      </c>
      <c r="C67" s="21">
        <f>C19</f>
        <v>1783970.3084210525</v>
      </c>
      <c r="D67" s="12">
        <f t="shared" si="2"/>
        <v>1783970.3084210525</v>
      </c>
      <c r="E67" s="12">
        <f t="shared" si="3"/>
        <v>1783970.3084210525</v>
      </c>
    </row>
    <row r="68" spans="1:5" x14ac:dyDescent="0.2">
      <c r="A68">
        <v>2025</v>
      </c>
      <c r="B68">
        <v>0</v>
      </c>
      <c r="C68" s="21">
        <f>C19</f>
        <v>1783970.3084210525</v>
      </c>
      <c r="D68" s="12">
        <f t="shared" si="2"/>
        <v>1783970.3084210525</v>
      </c>
      <c r="E68" s="12">
        <f t="shared" si="3"/>
        <v>1783970.3084210525</v>
      </c>
    </row>
    <row r="69" spans="1:5" x14ac:dyDescent="0.2">
      <c r="A69">
        <v>2026</v>
      </c>
      <c r="B69">
        <v>0</v>
      </c>
      <c r="C69" s="21">
        <f>C19</f>
        <v>1783970.3084210525</v>
      </c>
      <c r="D69" s="12">
        <f t="shared" si="2"/>
        <v>1783970.3084210525</v>
      </c>
      <c r="E69" s="12">
        <f t="shared" si="3"/>
        <v>1783970.3084210525</v>
      </c>
    </row>
    <row r="70" spans="1:5" x14ac:dyDescent="0.2">
      <c r="A70">
        <v>2027</v>
      </c>
      <c r="B70">
        <v>0</v>
      </c>
      <c r="C70" s="21">
        <f>C19</f>
        <v>1783970.3084210525</v>
      </c>
      <c r="D70" s="12">
        <f t="shared" si="2"/>
        <v>1783970.3084210525</v>
      </c>
      <c r="E70" s="12">
        <f t="shared" si="3"/>
        <v>1783970.3084210525</v>
      </c>
    </row>
    <row r="71" spans="1:5" x14ac:dyDescent="0.2">
      <c r="A71">
        <v>2028</v>
      </c>
      <c r="B71">
        <v>0</v>
      </c>
      <c r="C71" s="21">
        <f>C19</f>
        <v>1783970.3084210525</v>
      </c>
      <c r="D71" s="12">
        <f t="shared" si="2"/>
        <v>1783970.3084210525</v>
      </c>
      <c r="E71" s="12">
        <f t="shared" si="3"/>
        <v>1783970.3084210525</v>
      </c>
    </row>
    <row r="72" spans="1:5" x14ac:dyDescent="0.2">
      <c r="A72">
        <v>2029</v>
      </c>
      <c r="B72">
        <v>0</v>
      </c>
      <c r="C72" s="21">
        <f>C19</f>
        <v>1783970.3084210525</v>
      </c>
      <c r="D72" s="12">
        <f t="shared" si="2"/>
        <v>1783970.3084210525</v>
      </c>
      <c r="E72" s="12">
        <f t="shared" si="3"/>
        <v>1783970.3084210525</v>
      </c>
    </row>
    <row r="73" spans="1:5" x14ac:dyDescent="0.2">
      <c r="A73">
        <v>2030</v>
      </c>
      <c r="B73">
        <v>0</v>
      </c>
      <c r="C73" s="21">
        <f>C19</f>
        <v>1783970.3084210525</v>
      </c>
      <c r="D73" s="12">
        <f t="shared" si="2"/>
        <v>1783970.3084210525</v>
      </c>
      <c r="E73" s="12">
        <f t="shared" si="3"/>
        <v>1783970.3084210525</v>
      </c>
    </row>
    <row r="74" spans="1:5" x14ac:dyDescent="0.2">
      <c r="A74">
        <v>2031</v>
      </c>
      <c r="B74">
        <v>0</v>
      </c>
      <c r="C74" s="21">
        <f>C19</f>
        <v>1783970.3084210525</v>
      </c>
      <c r="D74" s="12">
        <f t="shared" si="2"/>
        <v>1783970.3084210525</v>
      </c>
      <c r="E74" s="12">
        <f t="shared" si="3"/>
        <v>1783970.3084210525</v>
      </c>
    </row>
    <row r="75" spans="1:5" x14ac:dyDescent="0.2">
      <c r="A75">
        <v>2032</v>
      </c>
      <c r="B75">
        <v>0</v>
      </c>
      <c r="C75" s="21">
        <f>C19</f>
        <v>1783970.3084210525</v>
      </c>
      <c r="D75" s="12">
        <f t="shared" si="2"/>
        <v>1783970.3084210525</v>
      </c>
      <c r="E75" s="12">
        <f t="shared" si="3"/>
        <v>1783970.3084210525</v>
      </c>
    </row>
    <row r="76" spans="1:5" x14ac:dyDescent="0.2">
      <c r="A76" t="s">
        <v>146</v>
      </c>
      <c r="B76" s="12">
        <f>SUM(B57:B75)</f>
        <v>1546366.7975000001</v>
      </c>
      <c r="C76" s="21">
        <f>SUM(C57:C75)</f>
        <v>24975584.317894738</v>
      </c>
      <c r="D76" s="12">
        <f>SUM(D57:D75)</f>
        <v>26521951.115394741</v>
      </c>
    </row>
  </sheetData>
  <mergeCells count="3">
    <mergeCell ref="B6:D6"/>
    <mergeCell ref="E6:G6"/>
    <mergeCell ref="H6:J6"/>
  </mergeCells>
  <pageMargins left="0.25" right="0.25" top="0.75" bottom="0.75" header="0.3" footer="0.3"/>
  <pageSetup scale="51" orientation="portrait" horizontalDpi="0" verticalDpi="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24"/>
  <sheetViews>
    <sheetView workbookViewId="0">
      <selection activeCell="C9" sqref="C9"/>
    </sheetView>
  </sheetViews>
  <sheetFormatPr baseColWidth="10" defaultColWidth="11" defaultRowHeight="16" x14ac:dyDescent="0.2"/>
  <cols>
    <col min="3" max="3" width="13.33203125" bestFit="1" customWidth="1"/>
    <col min="6" max="6" width="12.1640625" bestFit="1" customWidth="1"/>
  </cols>
  <sheetData>
    <row r="1" spans="1:6" x14ac:dyDescent="0.2">
      <c r="A1" t="s">
        <v>200</v>
      </c>
    </row>
    <row r="5" spans="1:6" ht="34" x14ac:dyDescent="0.2">
      <c r="A5" t="s">
        <v>38</v>
      </c>
      <c r="B5" s="11" t="s">
        <v>52</v>
      </c>
      <c r="C5" s="11" t="s">
        <v>53</v>
      </c>
      <c r="D5" s="11" t="s">
        <v>54</v>
      </c>
    </row>
    <row r="6" spans="1:6" x14ac:dyDescent="0.2">
      <c r="B6" t="s">
        <v>55</v>
      </c>
      <c r="C6" t="s">
        <v>296</v>
      </c>
    </row>
    <row r="7" spans="1:6" x14ac:dyDescent="0.2">
      <c r="A7">
        <v>2018</v>
      </c>
      <c r="B7">
        <v>9.33</v>
      </c>
      <c r="C7">
        <v>4411000000</v>
      </c>
      <c r="D7">
        <f t="shared" ref="D7:D21" si="0">B7*C7</f>
        <v>41154630000</v>
      </c>
    </row>
    <row r="8" spans="1:6" x14ac:dyDescent="0.2">
      <c r="A8">
        <v>2019</v>
      </c>
      <c r="B8">
        <v>8.6</v>
      </c>
      <c r="C8">
        <v>4690000000</v>
      </c>
      <c r="D8">
        <f t="shared" si="0"/>
        <v>40334000000</v>
      </c>
      <c r="F8">
        <f>'Incidence Parameters'!J6*'Soybean Prices and Production'!C8</f>
        <v>424236950.93810278</v>
      </c>
    </row>
    <row r="9" spans="1:6" x14ac:dyDescent="0.2">
      <c r="A9">
        <v>2020</v>
      </c>
      <c r="B9">
        <v>8.75</v>
      </c>
      <c r="C9">
        <v>4090000000</v>
      </c>
      <c r="D9">
        <f t="shared" si="0"/>
        <v>35787500000</v>
      </c>
    </row>
    <row r="10" spans="1:6" x14ac:dyDescent="0.2">
      <c r="A10">
        <v>2021</v>
      </c>
      <c r="B10">
        <v>9.15</v>
      </c>
      <c r="C10">
        <v>4135000000</v>
      </c>
      <c r="D10">
        <f t="shared" si="0"/>
        <v>37835250000</v>
      </c>
    </row>
    <row r="11" spans="1:6" x14ac:dyDescent="0.2">
      <c r="A11">
        <v>2022</v>
      </c>
      <c r="B11">
        <v>9.5500000000000007</v>
      </c>
      <c r="C11">
        <v>4205000000</v>
      </c>
      <c r="D11">
        <f t="shared" si="0"/>
        <v>40157750000</v>
      </c>
    </row>
    <row r="12" spans="1:6" x14ac:dyDescent="0.2">
      <c r="A12">
        <v>2023</v>
      </c>
      <c r="B12">
        <v>9.9499999999999993</v>
      </c>
      <c r="C12">
        <v>4270000000</v>
      </c>
      <c r="D12">
        <f t="shared" si="0"/>
        <v>42486500000</v>
      </c>
    </row>
    <row r="13" spans="1:6" x14ac:dyDescent="0.2">
      <c r="A13">
        <v>2024</v>
      </c>
      <c r="B13">
        <v>9.9</v>
      </c>
      <c r="C13">
        <v>4345000000</v>
      </c>
      <c r="D13">
        <f t="shared" si="0"/>
        <v>43015500000</v>
      </c>
    </row>
    <row r="14" spans="1:6" x14ac:dyDescent="0.2">
      <c r="A14">
        <v>2025</v>
      </c>
      <c r="B14" s="44">
        <v>9</v>
      </c>
      <c r="C14" s="45">
        <v>4415000000</v>
      </c>
      <c r="D14">
        <f t="shared" si="0"/>
        <v>39735000000</v>
      </c>
    </row>
    <row r="15" spans="1:6" x14ac:dyDescent="0.2">
      <c r="A15">
        <v>2026</v>
      </c>
      <c r="B15" s="44">
        <v>9.65</v>
      </c>
      <c r="C15" s="45">
        <v>4490000000</v>
      </c>
      <c r="D15">
        <f t="shared" si="0"/>
        <v>43328500000</v>
      </c>
    </row>
    <row r="16" spans="1:6" x14ac:dyDescent="0.2">
      <c r="A16">
        <v>2027</v>
      </c>
      <c r="B16" s="44">
        <v>9.4499999999999993</v>
      </c>
      <c r="C16" s="45">
        <v>4535000000</v>
      </c>
      <c r="D16">
        <f t="shared" si="0"/>
        <v>42855750000</v>
      </c>
    </row>
    <row r="17" spans="1:4" x14ac:dyDescent="0.2">
      <c r="A17">
        <v>2028</v>
      </c>
      <c r="B17" s="44">
        <v>9.4499999999999993</v>
      </c>
      <c r="C17" s="45">
        <v>4610000000</v>
      </c>
      <c r="D17">
        <f t="shared" si="0"/>
        <v>43564500000</v>
      </c>
    </row>
    <row r="18" spans="1:4" x14ac:dyDescent="0.2">
      <c r="A18">
        <v>2029</v>
      </c>
      <c r="B18" s="44">
        <v>9.4499999999999993</v>
      </c>
      <c r="C18" s="45">
        <v>4655000000</v>
      </c>
      <c r="D18">
        <f t="shared" si="0"/>
        <v>43989750000</v>
      </c>
    </row>
    <row r="19" spans="1:4" x14ac:dyDescent="0.2">
      <c r="A19">
        <v>2030</v>
      </c>
      <c r="B19" s="44">
        <v>9.4499999999999993</v>
      </c>
      <c r="C19" s="45">
        <v>4655000000</v>
      </c>
      <c r="D19">
        <f t="shared" si="0"/>
        <v>43989750000</v>
      </c>
    </row>
    <row r="20" spans="1:4" x14ac:dyDescent="0.2">
      <c r="A20">
        <v>2031</v>
      </c>
      <c r="B20" s="44">
        <v>9.4499999999999993</v>
      </c>
      <c r="C20" s="45">
        <v>4655000000</v>
      </c>
      <c r="D20">
        <f t="shared" si="0"/>
        <v>43989750000</v>
      </c>
    </row>
    <row r="21" spans="1:4" x14ac:dyDescent="0.2">
      <c r="A21">
        <v>2032</v>
      </c>
      <c r="B21" s="44">
        <v>9.4499999999999993</v>
      </c>
      <c r="C21" s="45">
        <v>4655000000</v>
      </c>
      <c r="D21">
        <f t="shared" si="0"/>
        <v>43989750000</v>
      </c>
    </row>
    <row r="24" spans="1:4" x14ac:dyDescent="0.2">
      <c r="A24" t="s">
        <v>57</v>
      </c>
      <c r="B24" t="s">
        <v>58</v>
      </c>
    </row>
  </sheetData>
  <pageMargins left="0.7" right="0.7" top="0.75" bottom="0.75" header="0.3" footer="0.3"/>
  <pageSetup orientation="portrait" horizontalDpi="0" verticalDpi="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F63"/>
  <sheetViews>
    <sheetView topLeftCell="A45" workbookViewId="0">
      <selection activeCell="J52" sqref="J52"/>
    </sheetView>
  </sheetViews>
  <sheetFormatPr baseColWidth="10" defaultColWidth="11" defaultRowHeight="16" x14ac:dyDescent="0.2"/>
  <sheetData>
    <row r="1" spans="1:6" x14ac:dyDescent="0.2">
      <c r="A1" t="s">
        <v>149</v>
      </c>
    </row>
    <row r="3" spans="1:6" x14ac:dyDescent="0.2">
      <c r="A3" s="13" t="s">
        <v>152</v>
      </c>
    </row>
    <row r="4" spans="1:6" x14ac:dyDescent="0.2">
      <c r="F4" t="s">
        <v>151</v>
      </c>
    </row>
    <row r="5" spans="1:6" x14ac:dyDescent="0.2">
      <c r="B5" t="s">
        <v>150</v>
      </c>
      <c r="F5">
        <v>12</v>
      </c>
    </row>
    <row r="6" spans="1:6" x14ac:dyDescent="0.2">
      <c r="B6" t="s">
        <v>153</v>
      </c>
      <c r="F6">
        <v>25</v>
      </c>
    </row>
    <row r="8" spans="1:6" x14ac:dyDescent="0.2">
      <c r="B8" t="s">
        <v>154</v>
      </c>
      <c r="D8" t="s">
        <v>155</v>
      </c>
    </row>
    <row r="13" spans="1:6" x14ac:dyDescent="0.2">
      <c r="A13" s="13" t="s">
        <v>193</v>
      </c>
    </row>
    <row r="15" spans="1:6" x14ac:dyDescent="0.2">
      <c r="A15" s="100" t="s">
        <v>156</v>
      </c>
      <c r="B15" s="100"/>
      <c r="C15" s="100"/>
      <c r="D15" s="100"/>
      <c r="E15" s="100" t="s">
        <v>157</v>
      </c>
      <c r="F15" s="100"/>
    </row>
    <row r="16" spans="1:6" x14ac:dyDescent="0.2">
      <c r="A16" s="101"/>
      <c r="B16" s="101"/>
      <c r="C16" s="101"/>
      <c r="D16" s="101"/>
      <c r="E16" s="32">
        <v>50.2</v>
      </c>
      <c r="F16" s="32">
        <v>50.2</v>
      </c>
    </row>
    <row r="17" spans="1:6" x14ac:dyDescent="0.2">
      <c r="A17" s="33"/>
      <c r="B17" s="33"/>
      <c r="C17" s="33"/>
      <c r="D17" s="33"/>
      <c r="E17" s="33"/>
      <c r="F17" s="33"/>
    </row>
    <row r="18" spans="1:6" x14ac:dyDescent="0.2">
      <c r="A18" s="34" t="s">
        <v>158</v>
      </c>
      <c r="B18" s="33"/>
      <c r="C18" s="33"/>
      <c r="D18" s="33"/>
      <c r="E18" s="33"/>
      <c r="F18" s="33"/>
    </row>
    <row r="19" spans="1:6" x14ac:dyDescent="0.2">
      <c r="A19" s="33"/>
      <c r="B19" s="33"/>
      <c r="C19" s="33" t="s">
        <v>159</v>
      </c>
      <c r="D19" s="33"/>
      <c r="E19" s="35">
        <v>468.36600000000004</v>
      </c>
      <c r="F19" s="35">
        <v>468.36600000000004</v>
      </c>
    </row>
    <row r="20" spans="1:6" x14ac:dyDescent="0.2">
      <c r="A20" s="33"/>
      <c r="B20" s="33"/>
      <c r="C20" s="33"/>
      <c r="D20" s="33"/>
      <c r="E20" s="35"/>
      <c r="F20" s="35"/>
    </row>
    <row r="21" spans="1:6" x14ac:dyDescent="0.2">
      <c r="A21" s="34" t="s">
        <v>160</v>
      </c>
      <c r="B21" s="33"/>
      <c r="C21" s="33"/>
      <c r="D21" s="33"/>
      <c r="E21" s="35">
        <v>468.36600000000004</v>
      </c>
      <c r="F21" s="35">
        <v>468.36600000000004</v>
      </c>
    </row>
    <row r="22" spans="1:6" x14ac:dyDescent="0.2">
      <c r="A22" s="34"/>
      <c r="B22" s="33"/>
      <c r="C22" s="33"/>
      <c r="D22" s="33"/>
      <c r="E22" s="35"/>
      <c r="F22" s="35"/>
    </row>
    <row r="23" spans="1:6" x14ac:dyDescent="0.2">
      <c r="A23" s="34" t="s">
        <v>161</v>
      </c>
      <c r="B23" s="33"/>
      <c r="C23" s="33"/>
      <c r="D23" s="33"/>
      <c r="E23" s="35"/>
      <c r="F23" s="35"/>
    </row>
    <row r="24" spans="1:6" x14ac:dyDescent="0.2">
      <c r="A24" s="33"/>
      <c r="B24" s="33" t="s">
        <v>162</v>
      </c>
      <c r="C24" s="33"/>
      <c r="D24" s="33"/>
      <c r="E24" s="35">
        <v>62</v>
      </c>
      <c r="F24" s="35"/>
    </row>
    <row r="25" spans="1:6" x14ac:dyDescent="0.2">
      <c r="A25" s="33"/>
      <c r="B25" s="33" t="s">
        <v>163</v>
      </c>
      <c r="D25" s="33"/>
      <c r="E25" s="35"/>
      <c r="F25" s="35">
        <v>74.99799999999999</v>
      </c>
    </row>
    <row r="26" spans="1:6" x14ac:dyDescent="0.2">
      <c r="A26" s="33"/>
      <c r="B26" s="33" t="s">
        <v>164</v>
      </c>
      <c r="C26" s="33"/>
      <c r="D26" s="33"/>
      <c r="E26" s="35"/>
      <c r="F26" s="35"/>
    </row>
    <row r="27" spans="1:6" x14ac:dyDescent="0.2">
      <c r="A27" s="33"/>
      <c r="B27" s="33"/>
      <c r="C27" s="33" t="s">
        <v>165</v>
      </c>
      <c r="D27" s="33"/>
      <c r="E27" s="35">
        <v>20.659230769230771</v>
      </c>
      <c r="F27" s="35">
        <v>20.659230769230771</v>
      </c>
    </row>
    <row r="28" spans="1:6" x14ac:dyDescent="0.2">
      <c r="A28" s="33"/>
      <c r="B28" s="33"/>
      <c r="C28" s="33" t="s">
        <v>166</v>
      </c>
      <c r="D28" s="33"/>
      <c r="E28" s="35">
        <v>20.498333333333335</v>
      </c>
      <c r="F28" s="35">
        <v>20.498333333333335</v>
      </c>
    </row>
    <row r="29" spans="1:6" x14ac:dyDescent="0.2">
      <c r="A29" s="33"/>
      <c r="B29" s="33"/>
      <c r="C29" s="33" t="s">
        <v>167</v>
      </c>
      <c r="D29" s="33"/>
      <c r="E29" s="35">
        <v>6.25</v>
      </c>
      <c r="F29" s="35">
        <v>6.25</v>
      </c>
    </row>
    <row r="30" spans="1:6" x14ac:dyDescent="0.2">
      <c r="A30" s="33"/>
      <c r="B30" s="33" t="s">
        <v>168</v>
      </c>
      <c r="C30" s="33"/>
      <c r="D30" s="33" t="s">
        <v>169</v>
      </c>
      <c r="E30" s="35">
        <v>39.299999999999997</v>
      </c>
      <c r="F30" s="35">
        <v>39.299999999999997</v>
      </c>
    </row>
    <row r="31" spans="1:6" x14ac:dyDescent="0.2">
      <c r="A31" s="33"/>
      <c r="B31" s="33"/>
      <c r="C31" s="33"/>
      <c r="D31" s="33" t="s">
        <v>170</v>
      </c>
      <c r="E31" s="35">
        <v>0</v>
      </c>
      <c r="F31" s="35">
        <v>0</v>
      </c>
    </row>
    <row r="32" spans="1:6" x14ac:dyDescent="0.2">
      <c r="A32" s="33"/>
      <c r="B32" s="33"/>
      <c r="C32" s="33"/>
      <c r="D32" s="33" t="s">
        <v>171</v>
      </c>
      <c r="E32" s="35">
        <v>0</v>
      </c>
      <c r="F32" s="35">
        <v>0</v>
      </c>
    </row>
    <row r="33" spans="1:6" x14ac:dyDescent="0.2">
      <c r="A33" s="33"/>
      <c r="B33" s="33" t="s">
        <v>172</v>
      </c>
      <c r="C33" s="33"/>
      <c r="D33" s="33"/>
      <c r="E33" s="35">
        <v>9.2368000000000006</v>
      </c>
      <c r="F33" s="35">
        <v>9.2368000000000006</v>
      </c>
    </row>
    <row r="34" spans="1:6" x14ac:dyDescent="0.2">
      <c r="A34" s="33"/>
      <c r="B34" s="33" t="s">
        <v>173</v>
      </c>
      <c r="C34" s="33"/>
      <c r="D34" s="33"/>
      <c r="E34" s="35">
        <v>12.567500000000003</v>
      </c>
      <c r="F34" s="35">
        <v>12.567500000000003</v>
      </c>
    </row>
    <row r="35" spans="1:6" x14ac:dyDescent="0.2">
      <c r="A35" s="33"/>
      <c r="B35" s="33" t="s">
        <v>174</v>
      </c>
      <c r="C35" s="33"/>
      <c r="D35" s="33"/>
      <c r="E35" s="35">
        <v>17.219890716899684</v>
      </c>
      <c r="F35" s="35">
        <v>17.219890716899684</v>
      </c>
    </row>
    <row r="36" spans="1:6" x14ac:dyDescent="0.2">
      <c r="A36" s="33"/>
      <c r="B36" s="33" t="s">
        <v>175</v>
      </c>
      <c r="C36" s="33"/>
      <c r="D36" s="33"/>
      <c r="E36" s="35">
        <v>9.5</v>
      </c>
      <c r="F36" s="35">
        <v>9.5</v>
      </c>
    </row>
    <row r="37" spans="1:6" x14ac:dyDescent="0.2">
      <c r="A37" s="33"/>
      <c r="B37" s="33" t="s">
        <v>176</v>
      </c>
      <c r="C37" s="33"/>
      <c r="D37" s="33"/>
      <c r="E37" s="35">
        <v>3.25</v>
      </c>
      <c r="F37" s="35">
        <v>3.25</v>
      </c>
    </row>
    <row r="38" spans="1:6" x14ac:dyDescent="0.2">
      <c r="A38" s="33"/>
      <c r="B38" s="33" t="s">
        <v>177</v>
      </c>
      <c r="C38" s="33"/>
      <c r="D38" s="33"/>
      <c r="E38" s="35">
        <v>6.25</v>
      </c>
      <c r="F38" s="35">
        <v>6.25</v>
      </c>
    </row>
    <row r="39" spans="1:6" x14ac:dyDescent="0.2">
      <c r="A39" s="33"/>
      <c r="B39" s="33" t="s">
        <v>178</v>
      </c>
      <c r="C39" s="33"/>
      <c r="D39" s="33"/>
      <c r="E39" s="35">
        <v>4.6996738704865955</v>
      </c>
      <c r="F39" s="35">
        <v>5.0248238704865953</v>
      </c>
    </row>
    <row r="40" spans="1:6" x14ac:dyDescent="0.2">
      <c r="A40" s="33"/>
      <c r="B40" s="33"/>
      <c r="C40" s="33"/>
      <c r="D40" s="33"/>
      <c r="E40" s="35"/>
      <c r="F40" s="35"/>
    </row>
    <row r="41" spans="1:6" x14ac:dyDescent="0.2">
      <c r="A41" s="34" t="s">
        <v>179</v>
      </c>
      <c r="B41" s="33"/>
      <c r="C41" s="33"/>
      <c r="D41" s="33"/>
      <c r="E41" s="35">
        <v>211.42342868995041</v>
      </c>
      <c r="F41" s="35">
        <v>224.75457868995036</v>
      </c>
    </row>
    <row r="42" spans="1:6" x14ac:dyDescent="0.2">
      <c r="A42" s="33"/>
      <c r="B42" s="33"/>
      <c r="C42" s="33"/>
      <c r="D42" s="33"/>
      <c r="E42" s="35"/>
      <c r="F42" s="35"/>
    </row>
    <row r="43" spans="1:6" x14ac:dyDescent="0.2">
      <c r="A43" s="34" t="s">
        <v>180</v>
      </c>
      <c r="B43" s="33"/>
      <c r="C43" s="33"/>
      <c r="D43" s="33"/>
      <c r="E43" s="35"/>
      <c r="F43" s="35"/>
    </row>
    <row r="44" spans="1:6" x14ac:dyDescent="0.2">
      <c r="A44" s="33"/>
      <c r="B44" s="33" t="s">
        <v>181</v>
      </c>
      <c r="C44" s="33"/>
      <c r="D44" s="33"/>
      <c r="E44" s="35">
        <v>22.5</v>
      </c>
      <c r="F44" s="35">
        <v>22.5</v>
      </c>
    </row>
    <row r="45" spans="1:6" x14ac:dyDescent="0.2">
      <c r="A45" s="33"/>
      <c r="B45" s="33" t="s">
        <v>182</v>
      </c>
      <c r="C45" s="33"/>
      <c r="D45" s="33"/>
      <c r="E45" s="35">
        <v>23.418300000000002</v>
      </c>
      <c r="F45" s="35">
        <v>23.418300000000002</v>
      </c>
    </row>
    <row r="46" spans="1:6" x14ac:dyDescent="0.2">
      <c r="A46" s="33"/>
      <c r="B46" s="33" t="s">
        <v>183</v>
      </c>
      <c r="C46" s="33"/>
      <c r="D46" s="33"/>
      <c r="E46" s="35">
        <v>50.191562711085886</v>
      </c>
      <c r="F46" s="35">
        <v>50.191562711085886</v>
      </c>
    </row>
    <row r="47" spans="1:6" x14ac:dyDescent="0.2">
      <c r="A47" s="33"/>
      <c r="B47" s="33" t="s">
        <v>184</v>
      </c>
      <c r="C47" s="33"/>
      <c r="D47" s="33"/>
      <c r="E47" s="35">
        <v>145</v>
      </c>
      <c r="F47" s="35">
        <v>145</v>
      </c>
    </row>
    <row r="48" spans="1:6" x14ac:dyDescent="0.2">
      <c r="A48" s="33"/>
      <c r="B48" s="33" t="s">
        <v>176</v>
      </c>
      <c r="C48" s="33"/>
      <c r="D48" s="33"/>
      <c r="E48" s="35">
        <v>14.9</v>
      </c>
      <c r="F48" s="35">
        <v>14.9</v>
      </c>
    </row>
    <row r="49" spans="1:6" x14ac:dyDescent="0.2">
      <c r="A49" s="33"/>
      <c r="B49" s="33"/>
      <c r="C49" s="33"/>
      <c r="D49" s="33"/>
      <c r="E49" s="35"/>
      <c r="F49" s="35"/>
    </row>
    <row r="50" spans="1:6" x14ac:dyDescent="0.2">
      <c r="A50" s="34" t="s">
        <v>185</v>
      </c>
      <c r="B50" s="33"/>
      <c r="C50" s="33"/>
      <c r="D50" s="33"/>
      <c r="E50" s="35">
        <v>256.00986271108587</v>
      </c>
      <c r="F50" s="35">
        <v>256.00986271108587</v>
      </c>
    </row>
    <row r="51" spans="1:6" x14ac:dyDescent="0.2">
      <c r="A51" s="33"/>
      <c r="B51" s="33"/>
      <c r="C51" s="33"/>
      <c r="D51" s="33"/>
      <c r="E51" s="35"/>
      <c r="F51" s="35"/>
    </row>
    <row r="52" spans="1:6" x14ac:dyDescent="0.2">
      <c r="A52" s="34" t="s">
        <v>186</v>
      </c>
      <c r="B52" s="33"/>
      <c r="C52" s="33"/>
      <c r="D52" s="33"/>
      <c r="E52" s="35">
        <v>467.43329140103629</v>
      </c>
      <c r="F52" s="35">
        <v>480.76444140103627</v>
      </c>
    </row>
    <row r="53" spans="1:6" x14ac:dyDescent="0.2">
      <c r="A53" s="36" t="s">
        <v>187</v>
      </c>
      <c r="B53" s="37"/>
      <c r="C53" s="37"/>
      <c r="D53" s="37"/>
      <c r="E53" s="38">
        <v>256.94257131004963</v>
      </c>
      <c r="F53" s="38">
        <v>243.61142131004968</v>
      </c>
    </row>
    <row r="54" spans="1:6" x14ac:dyDescent="0.2">
      <c r="A54" s="34" t="s">
        <v>188</v>
      </c>
      <c r="B54" s="33"/>
      <c r="C54" s="33"/>
      <c r="D54" s="33"/>
      <c r="E54" s="39">
        <v>111.94257131004963</v>
      </c>
      <c r="F54" s="39">
        <v>98.611421310049707</v>
      </c>
    </row>
    <row r="55" spans="1:6" x14ac:dyDescent="0.2">
      <c r="A55" s="34" t="s">
        <v>189</v>
      </c>
      <c r="B55" s="33"/>
      <c r="C55" s="33"/>
      <c r="D55" s="33"/>
      <c r="E55" s="40">
        <v>0.93270859896375669</v>
      </c>
      <c r="F55" s="40">
        <v>-12.398441401036223</v>
      </c>
    </row>
    <row r="56" spans="1:6" x14ac:dyDescent="0.2">
      <c r="A56" s="36" t="s">
        <v>190</v>
      </c>
      <c r="B56" s="37"/>
      <c r="C56" s="37"/>
      <c r="D56" s="37"/>
      <c r="E56" s="39">
        <v>145.93270859896376</v>
      </c>
      <c r="F56" s="39">
        <v>132.60155859896378</v>
      </c>
    </row>
    <row r="57" spans="1:6" x14ac:dyDescent="0.2">
      <c r="A57" s="34" t="s">
        <v>191</v>
      </c>
      <c r="B57" s="33"/>
      <c r="C57" s="33"/>
      <c r="D57" s="33"/>
      <c r="E57" s="39">
        <v>46.851008598963759</v>
      </c>
      <c r="F57" s="39">
        <v>33.519858598963779</v>
      </c>
    </row>
    <row r="58" spans="1:6" x14ac:dyDescent="0.2">
      <c r="A58" s="41" t="s">
        <v>192</v>
      </c>
      <c r="B58" s="32"/>
      <c r="C58" s="32"/>
      <c r="D58" s="32"/>
      <c r="E58" s="40">
        <v>191.85100859896374</v>
      </c>
      <c r="F58" s="42">
        <v>178.51985859896376</v>
      </c>
    </row>
    <row r="63" spans="1:6" x14ac:dyDescent="0.2">
      <c r="A63" s="13" t="s">
        <v>194</v>
      </c>
      <c r="E63">
        <f>((F52-E52)/E52)</f>
        <v>2.8519898443781288E-2</v>
      </c>
    </row>
  </sheetData>
  <mergeCells count="2">
    <mergeCell ref="A15:D16"/>
    <mergeCell ref="E15:F15"/>
  </mergeCells>
  <pageMargins left="0.25" right="0.25" top="0.75" bottom="0.75" header="0.3" footer="0.3"/>
  <pageSetup scale="55" orientation="portrait" horizontalDpi="0" verticalDpi="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74"/>
  <sheetViews>
    <sheetView topLeftCell="A5" workbookViewId="0">
      <selection activeCell="F11" sqref="F11"/>
    </sheetView>
  </sheetViews>
  <sheetFormatPr baseColWidth="10" defaultColWidth="11" defaultRowHeight="16" x14ac:dyDescent="0.2"/>
  <sheetData>
    <row r="1" spans="1:9" x14ac:dyDescent="0.2">
      <c r="A1" t="s">
        <v>217</v>
      </c>
    </row>
    <row r="3" spans="1:9" x14ac:dyDescent="0.2">
      <c r="A3" t="s">
        <v>218</v>
      </c>
    </row>
    <row r="4" spans="1:9" x14ac:dyDescent="0.2">
      <c r="A4" t="s">
        <v>216</v>
      </c>
    </row>
    <row r="5" spans="1:9" x14ac:dyDescent="0.2">
      <c r="A5" t="s">
        <v>215</v>
      </c>
    </row>
    <row r="6" spans="1:9" x14ac:dyDescent="0.2">
      <c r="A6" t="s">
        <v>208</v>
      </c>
      <c r="B6" s="47">
        <v>2016</v>
      </c>
      <c r="C6" s="47"/>
      <c r="F6" t="s">
        <v>300</v>
      </c>
    </row>
    <row r="7" spans="1:9" x14ac:dyDescent="0.2">
      <c r="A7" t="s">
        <v>209</v>
      </c>
      <c r="B7" s="48">
        <f>I8</f>
        <v>3.6869314790513419E-2</v>
      </c>
      <c r="C7" s="48"/>
      <c r="F7" t="s">
        <v>38</v>
      </c>
      <c r="G7" t="s">
        <v>301</v>
      </c>
      <c r="H7" t="s">
        <v>302</v>
      </c>
      <c r="I7" t="s">
        <v>303</v>
      </c>
    </row>
    <row r="8" spans="1:9" x14ac:dyDescent="0.2">
      <c r="A8" t="s">
        <v>210</v>
      </c>
      <c r="B8" s="47">
        <v>2018</v>
      </c>
      <c r="C8" s="47"/>
      <c r="F8">
        <v>2016</v>
      </c>
      <c r="G8" s="10">
        <v>3000000</v>
      </c>
      <c r="H8" s="90">
        <v>81368477.202399999</v>
      </c>
      <c r="I8">
        <f>G8/H8</f>
        <v>3.6869314790513419E-2</v>
      </c>
    </row>
    <row r="9" spans="1:9" x14ac:dyDescent="0.2">
      <c r="A9" t="s">
        <v>211</v>
      </c>
      <c r="B9" s="48">
        <f>I9</f>
        <v>9.7753370879728407E-2</v>
      </c>
      <c r="C9" s="48"/>
      <c r="F9">
        <v>2018</v>
      </c>
      <c r="G9" s="10">
        <v>8500000</v>
      </c>
      <c r="H9" s="90">
        <v>86953523.172699988</v>
      </c>
      <c r="I9">
        <f>G9/H9</f>
        <v>9.7753370879728407E-2</v>
      </c>
    </row>
    <row r="10" spans="1:9" x14ac:dyDescent="0.2">
      <c r="A10" t="s">
        <v>212</v>
      </c>
      <c r="B10" s="48">
        <v>0.9</v>
      </c>
      <c r="C10" s="48"/>
    </row>
    <row r="11" spans="1:9" x14ac:dyDescent="0.2">
      <c r="B11" s="50"/>
      <c r="C11" s="50"/>
    </row>
    <row r="12" spans="1:9" x14ac:dyDescent="0.2">
      <c r="A12" t="s">
        <v>213</v>
      </c>
      <c r="B12" s="49">
        <f>(LN(1/B7-1)-LN(1/B9-1))/(B8-B6)</f>
        <v>0.52018462843680768</v>
      </c>
      <c r="C12" s="49"/>
    </row>
    <row r="13" spans="1:9" x14ac:dyDescent="0.2">
      <c r="A13" t="s">
        <v>214</v>
      </c>
      <c r="B13" s="49">
        <f>LN(1/B7-1)/B12+B6</f>
        <v>2022.2724065706032</v>
      </c>
      <c r="C13" s="49"/>
    </row>
    <row r="16" spans="1:9" ht="96" x14ac:dyDescent="0.2">
      <c r="A16" s="14"/>
      <c r="B16" s="53" t="s">
        <v>219</v>
      </c>
      <c r="C16" s="53"/>
      <c r="D16" s="53" t="s">
        <v>230</v>
      </c>
      <c r="E16" s="11" t="s">
        <v>309</v>
      </c>
    </row>
    <row r="17" spans="1:5" x14ac:dyDescent="0.2">
      <c r="A17" s="54">
        <v>2013.5</v>
      </c>
      <c r="B17" s="55">
        <f>B10/(1+EXP(-B12*(A17:A73-B13)))</f>
        <v>9.2882467763376244E-3</v>
      </c>
      <c r="C17" s="54">
        <v>2013.5</v>
      </c>
      <c r="D17" s="63">
        <f>AVERAGE(B17:B18)</f>
        <v>1.0649372873821117E-2</v>
      </c>
    </row>
    <row r="18" spans="1:5" x14ac:dyDescent="0.2">
      <c r="A18" s="54">
        <v>2014</v>
      </c>
      <c r="B18" s="55">
        <f>B10/(1+EXP(-B12*(A17:A73-B13)))</f>
        <v>1.2010498971304611E-2</v>
      </c>
      <c r="C18" s="54">
        <v>2014.5</v>
      </c>
      <c r="D18" s="63">
        <f>AVERAGE(B19:B20)</f>
        <v>1.7770048882640343E-2</v>
      </c>
    </row>
    <row r="19" spans="1:5" x14ac:dyDescent="0.2">
      <c r="A19" s="54">
        <v>2014.5</v>
      </c>
      <c r="B19" s="55">
        <f>B10/(1+EXP(-B12*(A17:A73-B13)))</f>
        <v>1.551670526750454E-2</v>
      </c>
      <c r="C19" s="54">
        <v>2015.5</v>
      </c>
      <c r="D19" s="63">
        <f>AVERAGE(B21:B22)</f>
        <v>2.9491603842417793E-2</v>
      </c>
      <c r="E19">
        <f>I8</f>
        <v>3.6869314790513419E-2</v>
      </c>
    </row>
    <row r="20" spans="1:5" x14ac:dyDescent="0.2">
      <c r="A20" s="54">
        <v>2015</v>
      </c>
      <c r="B20" s="55">
        <f>B10/(1+EXP(-B12*(A17:A73-B13)))</f>
        <v>2.0023392497776144E-2</v>
      </c>
      <c r="C20" s="54">
        <v>2016.5</v>
      </c>
      <c r="D20" s="63">
        <f>AVERAGE(B23:B24)</f>
        <v>4.8513508262621616E-2</v>
      </c>
    </row>
    <row r="21" spans="1:5" x14ac:dyDescent="0.2">
      <c r="A21" s="54">
        <v>2015.5</v>
      </c>
      <c r="B21" s="55">
        <f>B10/(1+EXP(-B12*(A17:A73-B13)))</f>
        <v>2.5800824373372527E-2</v>
      </c>
      <c r="C21" s="54">
        <v>2017.5</v>
      </c>
      <c r="D21" s="63">
        <f>AVERAGE(B25:B26)</f>
        <v>7.8680336919065258E-2</v>
      </c>
      <c r="E21">
        <f>I9</f>
        <v>9.7753370879728407E-2</v>
      </c>
    </row>
    <row r="22" spans="1:5" x14ac:dyDescent="0.2">
      <c r="A22" s="54">
        <v>2016</v>
      </c>
      <c r="B22" s="55">
        <f>B10/(1+EXP(-B12*(A17:A73-B13)))</f>
        <v>3.318238331146306E-2</v>
      </c>
      <c r="C22" s="54">
        <v>2018.5</v>
      </c>
      <c r="D22" s="63">
        <f>AVERAGE(B27:B28)</f>
        <v>0.1248228338452442</v>
      </c>
    </row>
    <row r="23" spans="1:5" x14ac:dyDescent="0.2">
      <c r="A23" s="54">
        <v>2016.5</v>
      </c>
      <c r="B23" s="55">
        <f>B10/(1+EXP(-B12*(A17:A73-B13)))</f>
        <v>4.2572944336041432E-2</v>
      </c>
      <c r="C23" s="54">
        <v>2019.5</v>
      </c>
      <c r="D23" s="63">
        <f>AVERAGE(B29:B30)</f>
        <v>0.19165077476489634</v>
      </c>
    </row>
    <row r="24" spans="1:5" x14ac:dyDescent="0.2">
      <c r="A24" s="54">
        <v>2017</v>
      </c>
      <c r="B24" s="55">
        <f>B10/(1+EXP(-B12*(A17:A73-B13)))</f>
        <v>5.4454072189201792E-2</v>
      </c>
      <c r="C24" s="54">
        <v>2020.5</v>
      </c>
      <c r="D24" s="63">
        <f>AVERAGE(B31:B32)</f>
        <v>0.281191905292838</v>
      </c>
    </row>
    <row r="25" spans="1:5" x14ac:dyDescent="0.2">
      <c r="A25" s="54">
        <v>2017.5</v>
      </c>
      <c r="B25" s="55">
        <f>B10/(1+EXP(-B12*(A17:A73-B13)))</f>
        <v>6.9382640046372498E-2</v>
      </c>
      <c r="C25" s="54">
        <v>2021.5</v>
      </c>
      <c r="D25" s="63">
        <f>AVERAGE(B33:B34)</f>
        <v>0.38948180075010408</v>
      </c>
    </row>
    <row r="26" spans="1:5" x14ac:dyDescent="0.2">
      <c r="A26" s="54">
        <v>2018</v>
      </c>
      <c r="B26" s="55">
        <f>B10/(1+EXP(-B12*(A17:A73-B13)))</f>
        <v>8.7978033791758017E-2</v>
      </c>
      <c r="C26" s="54">
        <v>2022.5</v>
      </c>
      <c r="D26" s="63">
        <f>AVERAGE(B35:B36)</f>
        <v>0.50538162486172922</v>
      </c>
    </row>
    <row r="27" spans="1:5" x14ac:dyDescent="0.2">
      <c r="A27" s="54">
        <v>2018.5</v>
      </c>
      <c r="B27" s="55">
        <f>B10/(1+EXP(-B12*(A17:A73-B13)))</f>
        <v>0.11089185694487516</v>
      </c>
      <c r="C27" s="54">
        <v>2023.5</v>
      </c>
      <c r="D27" s="63">
        <f>AVERAGE(B37:B38)</f>
        <v>0.61429811619205399</v>
      </c>
    </row>
    <row r="28" spans="1:5" x14ac:dyDescent="0.2">
      <c r="A28" s="54">
        <v>2019</v>
      </c>
      <c r="B28" s="55">
        <f>B10/(1+EXP(-B12*(A17:A73-B13)))</f>
        <v>0.13875381074561324</v>
      </c>
      <c r="C28" s="54">
        <v>2024.5</v>
      </c>
      <c r="D28" s="63">
        <f>AVERAGE(B39:B40)</f>
        <v>0.70481957063162626</v>
      </c>
    </row>
    <row r="29" spans="1:5" x14ac:dyDescent="0.2">
      <c r="A29" s="54">
        <v>2019.5</v>
      </c>
      <c r="B29" s="55">
        <f>B10/(1+EXP(-B12*(A17:A73-B13)))</f>
        <v>0.17208951794883548</v>
      </c>
      <c r="C29" s="54">
        <v>2025.5</v>
      </c>
      <c r="D29" s="63">
        <f>AVERAGE(B41:B42)</f>
        <v>0.77265495067221079</v>
      </c>
    </row>
    <row r="30" spans="1:5" x14ac:dyDescent="0.2">
      <c r="A30" s="54">
        <v>2020</v>
      </c>
      <c r="B30" s="55">
        <f>B10/(1+EXP(-B12*(A17:A73-B13)))</f>
        <v>0.21121203158095722</v>
      </c>
      <c r="C30" s="54">
        <v>2026.5</v>
      </c>
      <c r="D30" s="63">
        <f>AVERAGE(B43:B44)</f>
        <v>0.81963200900420796</v>
      </c>
    </row>
    <row r="31" spans="1:5" x14ac:dyDescent="0.2">
      <c r="A31" s="54">
        <v>2020.5</v>
      </c>
      <c r="B31" s="55">
        <f>B10/(1+EXP(-B12*(A17:A73-B13)))</f>
        <v>0.25609941147526732</v>
      </c>
      <c r="C31" s="54">
        <v>2027.5</v>
      </c>
      <c r="D31" s="63">
        <f>AVERAGE(B45:B46)</f>
        <v>0.8504062974845279</v>
      </c>
    </row>
    <row r="32" spans="1:5" x14ac:dyDescent="0.2">
      <c r="A32" s="54">
        <v>2021</v>
      </c>
      <c r="B32" s="55">
        <f>B10/(1+EXP(-B12*(A17:A73-B13)))</f>
        <v>0.30628439911040861</v>
      </c>
      <c r="C32" s="54">
        <v>2028.5</v>
      </c>
      <c r="D32" s="63">
        <f>AVERAGE(B47:B48)</f>
        <v>0.86983651502955284</v>
      </c>
    </row>
    <row r="33" spans="1:4" x14ac:dyDescent="0.2">
      <c r="A33" s="54">
        <v>2021.5</v>
      </c>
      <c r="B33" s="55">
        <f>B10/(1+EXP(-B12*(A17:A73-B13)))</f>
        <v>0.36079324428189641</v>
      </c>
      <c r="C33" s="54">
        <v>2029.5</v>
      </c>
      <c r="D33" s="63">
        <f>AVERAGE(B49:B50)</f>
        <v>0.88181944793372313</v>
      </c>
    </row>
    <row r="34" spans="1:4" x14ac:dyDescent="0.2">
      <c r="A34" s="54">
        <v>2022</v>
      </c>
      <c r="B34" s="55">
        <f>B10/(1+EXP(-B12*(A17:A73-B13)))</f>
        <v>0.41817035721831175</v>
      </c>
      <c r="C34" s="54">
        <v>2030.5</v>
      </c>
      <c r="D34" s="63">
        <f>AVERAGE(B51:B52)</f>
        <v>0.88910255320181153</v>
      </c>
    </row>
    <row r="35" spans="1:4" x14ac:dyDescent="0.2">
      <c r="A35" s="54">
        <v>2022.5</v>
      </c>
      <c r="B35" s="55">
        <f>B10/(1+EXP(-B12*(A17:A73-B13)))</f>
        <v>0.47660681554286033</v>
      </c>
      <c r="C35" s="54">
        <v>2031.5</v>
      </c>
      <c r="D35" s="63">
        <f>AVERAGE(B53:B54)</f>
        <v>0.89348994469854404</v>
      </c>
    </row>
    <row r="36" spans="1:4" x14ac:dyDescent="0.2">
      <c r="A36" s="54">
        <v>2023</v>
      </c>
      <c r="B36" s="55">
        <f>B10/(1+EXP(-B12*(A17:A73-B13)))</f>
        <v>0.53415643418059811</v>
      </c>
      <c r="C36" s="55"/>
    </row>
    <row r="37" spans="1:4" x14ac:dyDescent="0.2">
      <c r="A37" s="54">
        <v>2023.5</v>
      </c>
      <c r="B37" s="55">
        <f>B10/(1+EXP(-B12*(A17:A73-B13)))</f>
        <v>0.58898818697957744</v>
      </c>
      <c r="C37" s="55"/>
    </row>
    <row r="38" spans="1:4" x14ac:dyDescent="0.2">
      <c r="A38" s="54">
        <v>2024</v>
      </c>
      <c r="B38" s="55">
        <f>B10/(1+EXP(-B12*(A17:A73-B13)))</f>
        <v>0.63960804540453065</v>
      </c>
      <c r="C38" s="55"/>
    </row>
    <row r="39" spans="1:4" x14ac:dyDescent="0.2">
      <c r="A39" s="54">
        <v>2024.5</v>
      </c>
      <c r="B39" s="55">
        <f>B10/(1+EXP(-B12*(A17:A73-B13)))</f>
        <v>0.68499657178653628</v>
      </c>
      <c r="C39" s="55"/>
    </row>
    <row r="40" spans="1:4" x14ac:dyDescent="0.2">
      <c r="A40" s="54">
        <v>2025</v>
      </c>
      <c r="B40" s="55">
        <f>B10/(1+EXP(-B12*(A17:A73-B13)))</f>
        <v>0.72464256947671624</v>
      </c>
      <c r="C40" s="56"/>
    </row>
    <row r="41" spans="1:4" x14ac:dyDescent="0.2">
      <c r="A41" s="54">
        <v>2025.5</v>
      </c>
      <c r="B41" s="55">
        <f>B10/(1+EXP(-B12*(A17:A73-B13)))</f>
        <v>0.7584882420993273</v>
      </c>
      <c r="C41" s="56"/>
    </row>
    <row r="42" spans="1:4" x14ac:dyDescent="0.2">
      <c r="A42" s="54">
        <v>2026</v>
      </c>
      <c r="B42" s="55">
        <f>B10/(1+EXP(-B12*(A17:A73-B13)))</f>
        <v>0.78682165924509428</v>
      </c>
      <c r="C42" s="56"/>
    </row>
    <row r="43" spans="1:4" x14ac:dyDescent="0.2">
      <c r="A43" s="54">
        <v>2026.5</v>
      </c>
      <c r="B43" s="55">
        <f>B10/(1+EXP(-B12*(A17:A73-B13)))</f>
        <v>0.81015415025251492</v>
      </c>
      <c r="C43" s="56"/>
    </row>
    <row r="44" spans="1:4" x14ac:dyDescent="0.2">
      <c r="A44" s="54">
        <v>2027</v>
      </c>
      <c r="B44" s="55">
        <f>B10/(1+EXP(-B12*(A17:A73-B13)))</f>
        <v>0.8291098677559009</v>
      </c>
      <c r="C44" s="56"/>
    </row>
    <row r="45" spans="1:4" x14ac:dyDescent="0.2">
      <c r="A45" s="54">
        <v>2027.5</v>
      </c>
      <c r="B45" s="55">
        <f>B10/(1+EXP(-B12*(A17:A73-B13)))</f>
        <v>0.84434105712354246</v>
      </c>
      <c r="C45" s="56"/>
    </row>
    <row r="46" spans="1:4" x14ac:dyDescent="0.2">
      <c r="A46" s="54">
        <v>2028</v>
      </c>
      <c r="B46" s="55">
        <f>B10/(1+EXP(-B12*(A17:A73-B13)))</f>
        <v>0.85647153784551322</v>
      </c>
      <c r="C46" s="56"/>
    </row>
    <row r="47" spans="1:4" x14ac:dyDescent="0.2">
      <c r="A47" s="54">
        <v>2028.5</v>
      </c>
      <c r="B47" s="55">
        <f>B10/(1+EXP(-B12*(A17:A73-B13)))</f>
        <v>0.86606452129379352</v>
      </c>
      <c r="C47" s="56"/>
    </row>
    <row r="48" spans="1:4" x14ac:dyDescent="0.2">
      <c r="A48" s="54">
        <v>2029</v>
      </c>
      <c r="B48" s="55">
        <f>B10/(1+EXP(-B12*(A17:A73-B13)))</f>
        <v>0.87360850876531226</v>
      </c>
      <c r="C48" s="56"/>
    </row>
    <row r="49" spans="1:3" x14ac:dyDescent="0.2">
      <c r="A49" s="54">
        <v>2029.5</v>
      </c>
      <c r="B49" s="55">
        <f>B10/(1+EXP(-B12*(A17:A73-B13)))</f>
        <v>0.87951510598663785</v>
      </c>
      <c r="C49" s="56"/>
    </row>
    <row r="50" spans="1:3" x14ac:dyDescent="0.2">
      <c r="A50" s="54">
        <v>2030</v>
      </c>
      <c r="B50" s="55">
        <f>B10/(1+EXP(-B12*(A17:A73-B13)))</f>
        <v>0.88412378988080831</v>
      </c>
      <c r="C50" s="56"/>
    </row>
    <row r="51" spans="1:3" x14ac:dyDescent="0.2">
      <c r="A51" s="54">
        <v>2030.5</v>
      </c>
      <c r="B51" s="55">
        <f>B10/(1+EXP(-B12*(A17:A73-B13)))</f>
        <v>0.88771010232890535</v>
      </c>
      <c r="C51" s="56"/>
    </row>
    <row r="52" spans="1:3" x14ac:dyDescent="0.2">
      <c r="A52" s="54">
        <v>2031</v>
      </c>
      <c r="B52" s="55">
        <f>B10/(1+EXP(-B12*(A17:A73-B13)))</f>
        <v>0.89049500407471771</v>
      </c>
      <c r="C52" s="56"/>
    </row>
    <row r="53" spans="1:3" x14ac:dyDescent="0.2">
      <c r="A53" s="54">
        <v>2031.5</v>
      </c>
      <c r="B53" s="55">
        <f>B10/(1+EXP(-B12*(A17:A73-B13)))</f>
        <v>0.8926540667328754</v>
      </c>
      <c r="C53" s="56"/>
    </row>
    <row r="54" spans="1:3" x14ac:dyDescent="0.2">
      <c r="A54" s="54">
        <v>2032</v>
      </c>
      <c r="B54" s="55">
        <f>B10/(1+EXP(-B12*(A17:A73-B13)))</f>
        <v>0.89432582266421268</v>
      </c>
      <c r="C54" s="3"/>
    </row>
    <row r="55" spans="1:3" x14ac:dyDescent="0.2">
      <c r="A55" s="54">
        <v>2033</v>
      </c>
      <c r="B55" s="56">
        <f>B10/(1+EXP(-B12*(A17:A73-B13)))</f>
        <v>0.89661856109292404</v>
      </c>
      <c r="C55" s="3"/>
    </row>
    <row r="56" spans="1:3" x14ac:dyDescent="0.2">
      <c r="A56" s="54">
        <v>2033</v>
      </c>
      <c r="B56" s="56">
        <f>B10/(1+EXP(-B12*(A17:A73-B13)))</f>
        <v>0.89661856109292404</v>
      </c>
      <c r="C56" s="3"/>
    </row>
    <row r="57" spans="1:3" x14ac:dyDescent="0.2">
      <c r="A57" s="54">
        <v>2034</v>
      </c>
      <c r="B57" s="56">
        <f>B10/(1+EXP(-B12*(A17:A73-B13)))</f>
        <v>0.89798696863827887</v>
      </c>
      <c r="C57" s="3"/>
    </row>
    <row r="58" spans="1:3" x14ac:dyDescent="0.2">
      <c r="A58" s="54">
        <v>2034</v>
      </c>
      <c r="B58" s="56">
        <f>B10/(1+EXP(-B12*(A17:A73-B13)))</f>
        <v>0.89798696863827887</v>
      </c>
      <c r="C58" s="3"/>
    </row>
    <row r="59" spans="1:3" x14ac:dyDescent="0.2">
      <c r="A59" s="54">
        <v>2035</v>
      </c>
      <c r="B59" s="56">
        <f>B10/(1+EXP(-B12*(A17:A73-B13)))</f>
        <v>0.89880234594234754</v>
      </c>
    </row>
    <row r="60" spans="1:3" x14ac:dyDescent="0.2">
      <c r="A60" s="54">
        <v>2035</v>
      </c>
      <c r="B60" s="56">
        <f>B10/(1+EXP(-B12*(A17:A73-B13)))</f>
        <v>0.89880234594234754</v>
      </c>
    </row>
    <row r="61" spans="1:3" x14ac:dyDescent="0.2">
      <c r="A61" s="54">
        <v>2036</v>
      </c>
      <c r="B61" s="56">
        <f>B10/(1+EXP(-B12*(A17:A73-B13)))</f>
        <v>0.89928771706287691</v>
      </c>
    </row>
    <row r="62" spans="1:3" x14ac:dyDescent="0.2">
      <c r="A62" s="54">
        <v>2036</v>
      </c>
      <c r="B62" s="56">
        <f>B10/(1+EXP(-B12*(A17:A73-B13)))</f>
        <v>0.89928771706287691</v>
      </c>
    </row>
    <row r="63" spans="1:3" x14ac:dyDescent="0.2">
      <c r="A63" s="54">
        <v>2037</v>
      </c>
      <c r="B63" s="56">
        <f>B10/(1+EXP(-B12*(A17:A73-B13)))</f>
        <v>0.89957647538601015</v>
      </c>
    </row>
    <row r="64" spans="1:3" x14ac:dyDescent="0.2">
      <c r="A64" s="54">
        <v>2037</v>
      </c>
      <c r="B64" s="56">
        <f>B10/(1+EXP(-B12*(A17:A73-B13)))</f>
        <v>0.89957647538601015</v>
      </c>
    </row>
    <row r="65" spans="1:2" x14ac:dyDescent="0.2">
      <c r="A65" s="54">
        <v>2038</v>
      </c>
      <c r="B65" s="56">
        <f>B10/(1+EXP(-B12*(A17:A73-B13)))</f>
        <v>0.89974820433990677</v>
      </c>
    </row>
    <row r="66" spans="1:2" x14ac:dyDescent="0.2">
      <c r="A66" s="54">
        <v>2038</v>
      </c>
      <c r="B66" s="56">
        <f>B10/(1+EXP(-B12*(A17:A73-B13)))</f>
        <v>0.89974820433990677</v>
      </c>
    </row>
    <row r="67" spans="1:2" x14ac:dyDescent="0.2">
      <c r="A67" s="54">
        <v>2039</v>
      </c>
      <c r="B67" s="56">
        <f>B10/(1+EXP(-B12*(A17:A73-B13)))</f>
        <v>0.89985031295666318</v>
      </c>
    </row>
    <row r="68" spans="1:2" x14ac:dyDescent="0.2">
      <c r="A68" s="54">
        <v>2039</v>
      </c>
      <c r="B68" s="56">
        <f>B10/(1+EXP(-B12*(A17:A73-B13)))</f>
        <v>0.89985031295666318</v>
      </c>
    </row>
    <row r="69" spans="1:2" x14ac:dyDescent="0.2">
      <c r="A69" s="54">
        <v>2040</v>
      </c>
      <c r="B69" s="3">
        <f>B10/(1+EXP(-B12*(A17:A73-B13)))</f>
        <v>0.89991101840346654</v>
      </c>
    </row>
    <row r="70" spans="1:2" x14ac:dyDescent="0.2">
      <c r="A70" s="54">
        <v>2040</v>
      </c>
      <c r="B70" s="3">
        <f>B10/(1+EXP(-B12*(A17:A73-B13)))</f>
        <v>0.89991101840346654</v>
      </c>
    </row>
    <row r="71" spans="1:2" x14ac:dyDescent="0.2">
      <c r="A71" s="54">
        <v>2041</v>
      </c>
      <c r="B71" s="3">
        <f>B10/(1+EXP(-B12*(A17:A73-B13)))</f>
        <v>0.89994710625763097</v>
      </c>
    </row>
    <row r="72" spans="1:2" x14ac:dyDescent="0.2">
      <c r="A72" s="54">
        <v>2041</v>
      </c>
      <c r="B72" s="3">
        <f>B10/(1+EXP(-B12*(A17:A73-B13)))</f>
        <v>0.89994710625763097</v>
      </c>
    </row>
    <row r="73" spans="1:2" x14ac:dyDescent="0.2">
      <c r="A73" s="54">
        <v>2042</v>
      </c>
      <c r="B73" s="3">
        <f>B10/(1+EXP(-B12*(A17:A73-B13)))</f>
        <v>0.89996855863920766</v>
      </c>
    </row>
    <row r="74" spans="1:2" x14ac:dyDescent="0.2">
      <c r="A74" s="54"/>
    </row>
  </sheetData>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Z49"/>
  <sheetViews>
    <sheetView topLeftCell="A17" workbookViewId="0">
      <selection activeCell="D43" sqref="D43"/>
    </sheetView>
  </sheetViews>
  <sheetFormatPr baseColWidth="10" defaultColWidth="11" defaultRowHeight="16" x14ac:dyDescent="0.2"/>
  <cols>
    <col min="2" max="2" width="19.5" customWidth="1"/>
    <col min="3" max="3" width="15.33203125" customWidth="1"/>
    <col min="4" max="4" width="19" bestFit="1" customWidth="1"/>
    <col min="5" max="5" width="17.33203125" bestFit="1" customWidth="1"/>
    <col min="6" max="6" width="19.33203125" customWidth="1"/>
    <col min="7" max="7" width="17" bestFit="1" customWidth="1"/>
    <col min="11" max="11" width="12.1640625" bestFit="1" customWidth="1"/>
    <col min="13" max="13" width="23.83203125" customWidth="1"/>
    <col min="14" max="14" width="17.83203125" customWidth="1"/>
    <col min="15" max="15" width="12.6640625" bestFit="1" customWidth="1"/>
    <col min="16" max="16" width="17.6640625" customWidth="1"/>
    <col min="26" max="26" width="12.1640625" bestFit="1" customWidth="1"/>
  </cols>
  <sheetData>
    <row r="1" spans="1:26" x14ac:dyDescent="0.2">
      <c r="A1" t="s">
        <v>260</v>
      </c>
    </row>
    <row r="3" spans="1:26" x14ac:dyDescent="0.2">
      <c r="A3" t="s">
        <v>229</v>
      </c>
      <c r="I3" s="76"/>
    </row>
    <row r="4" spans="1:26" x14ac:dyDescent="0.2">
      <c r="B4" s="80" t="s">
        <v>341</v>
      </c>
      <c r="I4" s="77"/>
    </row>
    <row r="5" spans="1:26" x14ac:dyDescent="0.2">
      <c r="J5" s="62"/>
    </row>
    <row r="6" spans="1:26" x14ac:dyDescent="0.2">
      <c r="A6" t="s">
        <v>220</v>
      </c>
    </row>
    <row r="7" spans="1:26" x14ac:dyDescent="0.2">
      <c r="B7" t="s">
        <v>221</v>
      </c>
      <c r="C7" t="s">
        <v>233</v>
      </c>
    </row>
    <row r="8" spans="1:26" x14ac:dyDescent="0.2">
      <c r="B8" t="s">
        <v>222</v>
      </c>
      <c r="C8" t="s">
        <v>234</v>
      </c>
    </row>
    <row r="9" spans="1:26" x14ac:dyDescent="0.2">
      <c r="B9" t="s">
        <v>223</v>
      </c>
      <c r="C9" s="57" t="s">
        <v>269</v>
      </c>
      <c r="I9" s="76"/>
    </row>
    <row r="10" spans="1:26" x14ac:dyDescent="0.2">
      <c r="B10" t="s">
        <v>224</v>
      </c>
      <c r="C10" t="s">
        <v>225</v>
      </c>
      <c r="I10" s="76"/>
    </row>
    <row r="11" spans="1:26" x14ac:dyDescent="0.2">
      <c r="B11" t="s">
        <v>226</v>
      </c>
      <c r="C11" t="s">
        <v>268</v>
      </c>
      <c r="I11" s="76"/>
    </row>
    <row r="12" spans="1:26" x14ac:dyDescent="0.2">
      <c r="B12" t="s">
        <v>227</v>
      </c>
      <c r="C12" t="s">
        <v>228</v>
      </c>
    </row>
    <row r="13" spans="1:26" x14ac:dyDescent="0.2">
      <c r="A13" s="76"/>
      <c r="B13" s="15" t="s">
        <v>265</v>
      </c>
      <c r="C13" s="15" t="s">
        <v>266</v>
      </c>
    </row>
    <row r="16" spans="1:26" ht="136" x14ac:dyDescent="0.2">
      <c r="A16" s="11"/>
      <c r="B16" s="11" t="s">
        <v>232</v>
      </c>
      <c r="C16" s="11" t="s">
        <v>231</v>
      </c>
      <c r="D16" s="11" t="s">
        <v>236</v>
      </c>
      <c r="E16" s="11" t="s">
        <v>236</v>
      </c>
      <c r="F16" s="11" t="s">
        <v>254</v>
      </c>
      <c r="G16" s="11" t="s">
        <v>255</v>
      </c>
      <c r="H16" s="11" t="s">
        <v>256</v>
      </c>
      <c r="I16" s="11" t="s">
        <v>312</v>
      </c>
      <c r="J16" s="11" t="s">
        <v>313</v>
      </c>
      <c r="K16" s="11" t="s">
        <v>314</v>
      </c>
      <c r="L16" s="11" t="s">
        <v>314</v>
      </c>
      <c r="M16" s="11"/>
      <c r="Q16" s="11"/>
      <c r="R16" s="11"/>
      <c r="T16" s="11"/>
      <c r="U16" s="11"/>
      <c r="V16" s="11"/>
      <c r="W16" s="11"/>
      <c r="X16" s="11"/>
      <c r="Y16" s="11"/>
      <c r="Z16" s="11"/>
    </row>
    <row r="17" spans="1:16" x14ac:dyDescent="0.2">
      <c r="A17" t="s">
        <v>235</v>
      </c>
      <c r="B17" t="s">
        <v>297</v>
      </c>
      <c r="C17" t="s">
        <v>298</v>
      </c>
      <c r="D17" t="s">
        <v>297</v>
      </c>
      <c r="E17" t="s">
        <v>237</v>
      </c>
      <c r="F17" t="s">
        <v>237</v>
      </c>
      <c r="G17" t="s">
        <v>237</v>
      </c>
      <c r="H17" t="s">
        <v>237</v>
      </c>
      <c r="I17" t="s">
        <v>346</v>
      </c>
      <c r="J17" t="s">
        <v>297</v>
      </c>
      <c r="K17" t="s">
        <v>346</v>
      </c>
      <c r="L17" t="s">
        <v>347</v>
      </c>
      <c r="M17" s="99"/>
      <c r="N17" s="99"/>
      <c r="O17" s="99"/>
      <c r="P17" s="99"/>
    </row>
    <row r="18" spans="1:16" x14ac:dyDescent="0.2">
      <c r="A18" s="54">
        <v>2017.5</v>
      </c>
      <c r="B18" s="81">
        <f>(1-'Incidence Parameters'!I5-'Incidence Parameters'!J5)*'Soybean Prices and Production'!C7+'Incidence Parameters'!I5*(1-'Economic Surplus Parameters'!$C$7*(1-1*'Adoption Path Fluopyram'!D21))*'Soybean Prices and Production'!C7+('Incidence Parameters'!J5*(1-'Economic Surplus Parameters'!$C$7*(1-1*0))*'Soybean Prices and Production'!C7)</f>
        <v>4380621195.4722357</v>
      </c>
      <c r="C18" s="81">
        <f>(1-'Incidence Parameters'!I5-'Incidence Parameters'!J5)*'Soybean Prices and Production'!C7+'Incidence Parameters'!I5*(1-'Economic Surplus Parameters'!$C$7*(1-1*0))*'Soybean Prices and Production'!C7+('Incidence Parameters'!J5*(1-'Economic Surplus Parameters'!$C$7*(1-1*0))*'Soybean Prices and Production'!C7)</f>
        <v>4378026857.5120001</v>
      </c>
      <c r="D18" s="65">
        <f>B18-C18</f>
        <v>2594337.9602355957</v>
      </c>
      <c r="E18" s="3">
        <f>(B18-C18)/C18</f>
        <v>5.925815543557306E-4</v>
      </c>
      <c r="F18" s="3">
        <f>B18/'Soybean Prices and Production'!C7</f>
        <v>0.99311294388397997</v>
      </c>
      <c r="G18" s="3">
        <f>C18/'Soybean Prices and Production'!C7</f>
        <v>0.99252479199999999</v>
      </c>
      <c r="H18" s="3">
        <f>F18-G18</f>
        <v>5.8815188397998153E-4</v>
      </c>
      <c r="I18">
        <f>D18*'Soybean Prices and Production'!B7</f>
        <v>24205173.168998107</v>
      </c>
      <c r="J18">
        <f>(1-G18)*'Soybean Prices and Production'!C7</f>
        <v>32973142.488000046</v>
      </c>
      <c r="K18">
        <f>J18*'Soybean Prices and Production'!B7</f>
        <v>307639419.41304046</v>
      </c>
      <c r="L18">
        <f>K18/1000000</f>
        <v>307.63941941304046</v>
      </c>
    </row>
    <row r="19" spans="1:16" x14ac:dyDescent="0.2">
      <c r="A19" s="54">
        <v>2018.5</v>
      </c>
      <c r="B19" s="97">
        <f>(1-'Incidence Parameters'!I6-'Incidence Parameters'!J6)*'Soybean Prices and Production'!C8+'Incidence Parameters'!I6*(1-'Economic Surplus Parameters'!$C$7*(1-1*'Adoption Path Fluopyram'!D22))*'Soybean Prices and Production'!C8+('Incidence Parameters'!J6*(1-'Economic Surplus Parameters'!$C$7*(1-1*0))*'Soybean Prices and Production'!C8)</f>
        <v>4626551010.8404694</v>
      </c>
      <c r="C19" s="97">
        <f>(1-'Incidence Parameters'!I6-'Incidence Parameters'!J6)*'Soybean Prices and Production'!C8+'Incidence Parameters'!I6*(1-'Economic Surplus Parameters'!$C$7*(1-1*0))*'Soybean Prices and Production'!C8+('Incidence Parameters'!J6*(1-'Economic Surplus Parameters'!$C$7*(1-1*0))*'Soybean Prices and Production'!C8)</f>
        <v>4622100090.5687046</v>
      </c>
      <c r="D19" s="82">
        <f>B19-C19</f>
        <v>4450920.2717647552</v>
      </c>
      <c r="E19" s="98">
        <f t="shared" ref="E19:E32" si="0">(B19-C19)/C19</f>
        <v>9.6296492601853471E-4</v>
      </c>
      <c r="F19" s="3">
        <f>B19/'Soybean Prices and Production'!C8</f>
        <v>0.98647143088282929</v>
      </c>
      <c r="G19" s="3">
        <f>C19/'Soybean Prices and Production'!C8</f>
        <v>0.98552240737072594</v>
      </c>
      <c r="H19" s="83">
        <f t="shared" ref="H19:H32" si="1">F19-G19</f>
        <v>9.4902351210335301E-4</v>
      </c>
      <c r="I19">
        <f>D19*'Soybean Prices and Production'!B8</f>
        <v>38277914.337176897</v>
      </c>
      <c r="J19">
        <f>(1-G19)*'Soybean Prices and Production'!C8</f>
        <v>67899909.43129535</v>
      </c>
      <c r="K19">
        <f>J19*'Soybean Prices and Production'!B8</f>
        <v>583939221.10914004</v>
      </c>
      <c r="L19" s="95">
        <f t="shared" ref="L19:L32" si="2">K19/1000000</f>
        <v>583.93922110914002</v>
      </c>
      <c r="N19" s="65"/>
      <c r="O19" s="65"/>
      <c r="P19" s="65"/>
    </row>
    <row r="20" spans="1:16" x14ac:dyDescent="0.2">
      <c r="A20" s="54">
        <v>2019.5</v>
      </c>
      <c r="B20" s="81">
        <f>(1-'Incidence Parameters'!I7-'Incidence Parameters'!J7)*'Soybean Prices and Production'!C9+'Incidence Parameters'!I7*(1-'Economic Surplus Parameters'!$C$7*(1-1*'Adoption Path Fluopyram'!D23))*'Soybean Prices and Production'!C9+('Incidence Parameters'!J5*(1-'Economic Surplus Parameters'!$C$7*(1-1*0))*'Soybean Prices and Production'!C9)</f>
        <v>4064441092.9729362</v>
      </c>
      <c r="C20" s="81">
        <f>(1-'Incidence Parameters'!I7-'Incidence Parameters'!J7)*'Soybean Prices and Production'!C9+'Incidence Parameters'!I7*(1-'Economic Surplus Parameters'!$C$7*(1-1*0))*'Soybean Prices and Production'!C9+('Incidence Parameters'!J7*(1-'Economic Surplus Parameters'!$C$7*(1-1*0))*'Soybean Prices and Production'!C9)</f>
        <v>4058381355.1999998</v>
      </c>
      <c r="D20" s="65">
        <f t="shared" ref="D20:D32" si="3">B20-C20</f>
        <v>6059737.7729363441</v>
      </c>
      <c r="E20" s="3">
        <f t="shared" si="0"/>
        <v>1.4931415366306097E-3</v>
      </c>
      <c r="F20" s="3">
        <f>B20/'Soybean Prices and Production'!C9</f>
        <v>0.99375087847749055</v>
      </c>
      <c r="G20" s="3">
        <f>C20/'Soybean Prices and Production'!C9</f>
        <v>0.99226927999999992</v>
      </c>
      <c r="H20" s="3">
        <f t="shared" si="1"/>
        <v>1.481598477490631E-3</v>
      </c>
      <c r="I20">
        <f>D20*'Soybean Prices and Production'!B9</f>
        <v>53022705.513193011</v>
      </c>
      <c r="J20">
        <f>(1-G20)*'Soybean Prices and Production'!C9</f>
        <v>31618644.800000325</v>
      </c>
      <c r="K20">
        <f>J20*'Soybean Prices and Production'!B9</f>
        <v>276663142.00000286</v>
      </c>
      <c r="L20">
        <f t="shared" si="2"/>
        <v>276.66314200000284</v>
      </c>
      <c r="N20" s="65"/>
      <c r="P20" s="65"/>
    </row>
    <row r="21" spans="1:16" x14ac:dyDescent="0.2">
      <c r="A21" s="54">
        <v>2020.5</v>
      </c>
      <c r="B21" s="81">
        <f>(1-'Incidence Parameters'!I8-'Incidence Parameters'!J8)*'Soybean Prices and Production'!C10+'Incidence Parameters'!I8*(1-'Economic Surplus Parameters'!$C$7*(1-1*'Adoption Path Fluopyram'!D24))*'Soybean Prices and Production'!C10+('Incidence Parameters'!J8*(1-'Economic Surplus Parameters'!$C$7*(1-1*0))*'Soybean Prices and Production'!C10)</f>
        <v>4111642475.9748354</v>
      </c>
      <c r="C21" s="81">
        <f>(1-'Incidence Parameters'!I8-'Incidence Parameters'!J8)*'Soybean Prices and Production'!C10+'Incidence Parameters'!I8*(1-'Economic Surplus Parameters'!$C$7*(1-1*0))*'Soybean Prices and Production'!C10+('Incidence Parameters'!J8*(1-'Economic Surplus Parameters'!$C$7*(1-1*0))*'Soybean Prices and Production'!C10)</f>
        <v>4102505201.7399998</v>
      </c>
      <c r="D21" s="65">
        <f t="shared" si="3"/>
        <v>9137274.2348356247</v>
      </c>
      <c r="E21" s="3">
        <f t="shared" si="0"/>
        <v>2.2272425714317738E-3</v>
      </c>
      <c r="F21" s="3">
        <f>B21/'Soybean Prices and Production'!C10</f>
        <v>0.99435126383913797</v>
      </c>
      <c r="G21" s="3">
        <f>C21/'Soybean Prices and Production'!C10</f>
        <v>0.992141524</v>
      </c>
      <c r="H21" s="3">
        <f t="shared" si="1"/>
        <v>2.2097398391379697E-3</v>
      </c>
      <c r="I21">
        <f>D21*'Soybean Prices and Production'!B10</f>
        <v>83606059.248745963</v>
      </c>
      <c r="J21">
        <f>(1-G21)*'Soybean Prices and Production'!C10</f>
        <v>32494798.260000013</v>
      </c>
      <c r="K21">
        <f>J21*'Soybean Prices and Production'!B10</f>
        <v>297327404.07900012</v>
      </c>
      <c r="L21">
        <f t="shared" si="2"/>
        <v>297.32740407900013</v>
      </c>
      <c r="P21" s="65"/>
    </row>
    <row r="22" spans="1:16" x14ac:dyDescent="0.2">
      <c r="A22" s="54">
        <v>2021.5</v>
      </c>
      <c r="B22" s="81">
        <f>(1-'Incidence Parameters'!I9-'Incidence Parameters'!J9)*'Soybean Prices and Production'!C11+'Incidence Parameters'!I9*(1-'Economic Surplus Parameters'!$C$7*(1-1*'Adoption Path Fluopyram'!D25))*'Soybean Prices and Production'!C11+('Incidence Parameters'!J9*(1-'Economic Surplus Parameters'!$C$7*(1-1*0))*'Soybean Prices and Production'!C11)</f>
        <v>4184497513.3864889</v>
      </c>
      <c r="C22" s="81">
        <f>(1-'Incidence Parameters'!I9-'Incidence Parameters'!J9)*'Soybean Prices and Production'!C11+'Incidence Parameters'!I9*(1-'Economic Surplus Parameters'!$C$7*(1-1*0))*'Soybean Prices and Production'!C11+('Incidence Parameters'!J9*(1-'Economic Surplus Parameters'!$C$7*(1-1*0))*'Soybean Prices and Production'!C11)</f>
        <v>4171417894.4400001</v>
      </c>
      <c r="D22" s="65">
        <f t="shared" si="3"/>
        <v>13079618.946488857</v>
      </c>
      <c r="E22" s="3">
        <f t="shared" si="0"/>
        <v>3.1355331154719408E-3</v>
      </c>
      <c r="F22" s="3">
        <f>B22/'Soybean Prices and Production'!C11</f>
        <v>0.99512426002056809</v>
      </c>
      <c r="G22" s="3">
        <f>C22/'Soybean Prices and Production'!C11</f>
        <v>0.99201376799999996</v>
      </c>
      <c r="H22" s="3">
        <f t="shared" si="1"/>
        <v>3.110492020568123E-3</v>
      </c>
      <c r="I22">
        <f>D22*'Soybean Prices and Production'!B11</f>
        <v>124910360.9389686</v>
      </c>
      <c r="J22">
        <f>(1-G22)*'Soybean Prices and Production'!C11</f>
        <v>33582105.560000159</v>
      </c>
      <c r="K22">
        <f>J22*'Soybean Prices and Production'!B11</f>
        <v>320709108.09800154</v>
      </c>
      <c r="L22">
        <f t="shared" si="2"/>
        <v>320.70910809800154</v>
      </c>
    </row>
    <row r="23" spans="1:16" x14ac:dyDescent="0.2">
      <c r="A23" s="54">
        <v>2022.5</v>
      </c>
      <c r="B23" s="81">
        <f>(1-'Incidence Parameters'!I10-'Incidence Parameters'!J10)*'Soybean Prices and Production'!C12+'Incidence Parameters'!I10*(1-'Economic Surplus Parameters'!$C$7*(1-1*'Adoption Path Fluopyram'!D26))*'Soybean Prices and Production'!C12+('Incidence Parameters'!J10*(1-'Economic Surplus Parameters'!$C$7*(1-1*0))*'Soybean Prices and Production'!C12)</f>
        <v>4252863091.3168726</v>
      </c>
      <c r="C23" s="81">
        <f>(1-'Incidence Parameters'!I10-'Incidence Parameters'!J10)*'Soybean Prices and Production'!C12+'Incidence Parameters'!I10*(1-'Economic Surplus Parameters'!$C$7*(1-1*0))*'Soybean Prices and Production'!C12+('Incidence Parameters'!J10*(1-'Economic Surplus Parameters'!$C$7*(1-1*0))*'Soybean Prices and Production'!C12)</f>
        <v>4235353271.2400002</v>
      </c>
      <c r="D23" s="65">
        <f t="shared" si="3"/>
        <v>17509820.076872349</v>
      </c>
      <c r="E23" s="3">
        <f t="shared" si="0"/>
        <v>4.1342053320019591E-3</v>
      </c>
      <c r="F23" s="3">
        <f>B23/'Soybean Prices and Production'!C12</f>
        <v>0.99598667243954864</v>
      </c>
      <c r="G23" s="3">
        <f>C23/'Soybean Prices and Production'!C12</f>
        <v>0.99188601200000004</v>
      </c>
      <c r="H23" s="3">
        <f t="shared" si="1"/>
        <v>4.1006604395485979E-3</v>
      </c>
      <c r="I23">
        <f>D23*'Soybean Prices and Production'!B12</f>
        <v>174222709.76487985</v>
      </c>
      <c r="J23">
        <f>(1-G23)*'Soybean Prices and Production'!C12</f>
        <v>34646728.759999834</v>
      </c>
      <c r="K23">
        <f>J23*'Soybean Prices and Production'!B12</f>
        <v>344734951.16199833</v>
      </c>
      <c r="L23">
        <f t="shared" si="2"/>
        <v>344.73495116199831</v>
      </c>
    </row>
    <row r="24" spans="1:16" x14ac:dyDescent="0.2">
      <c r="A24" s="54">
        <v>2023.5</v>
      </c>
      <c r="B24" s="97">
        <f>(1-'Incidence Parameters'!I11-'Incidence Parameters'!J11)*'Soybean Prices and Production'!C13+'Incidence Parameters'!I11*(1-'Economic Surplus Parameters'!$C$7*(1-1*'Adoption Path Fluopyram'!D27))*'Soybean Prices and Production'!C13+('Incidence Parameters'!J11*(1-'Economic Surplus Parameters'!$C$7*(1-1*0))*'Soybean Prices and Production'!C13)</f>
        <v>4304093107.5747538</v>
      </c>
      <c r="C24" s="97">
        <f>(1-'Incidence Parameters'!I11-'Incidence Parameters'!J11)*'Soybean Prices and Production'!C13+'Incidence Parameters'!I11*(1-'Economic Surplus Parameters'!$C$7*(1-1*0))*'Soybean Prices and Production'!C13+('Incidence Parameters'!J11*(1-'Economic Surplus Parameters'!$C$7*(1-1*0))*'Soybean Prices and Production'!C13)</f>
        <v>4282094860.0258031</v>
      </c>
      <c r="D24" s="82">
        <f t="shared" si="3"/>
        <v>21998247.548950672</v>
      </c>
      <c r="E24" s="98">
        <f t="shared" si="0"/>
        <v>5.1372630144905559E-3</v>
      </c>
      <c r="F24" s="3">
        <f>B24/'Soybean Prices and Production'!C13</f>
        <v>0.99058529518406302</v>
      </c>
      <c r="G24" s="3">
        <f>C24/'Soybean Prices and Production'!C13</f>
        <v>0.98552240737072572</v>
      </c>
      <c r="H24" s="83">
        <f>F24-G24</f>
        <v>5.0628878133373023E-3</v>
      </c>
      <c r="I24">
        <f>D24*'Soybean Prices and Production'!B13</f>
        <v>217782650.73461166</v>
      </c>
      <c r="J24">
        <f>(1-G24)*'Soybean Prices and Production'!C13</f>
        <v>62905139.974196762</v>
      </c>
      <c r="K24">
        <f>J24*'Soybean Prices and Production'!B13</f>
        <v>622760885.74454796</v>
      </c>
      <c r="L24" s="95">
        <f t="shared" si="2"/>
        <v>622.76088574454798</v>
      </c>
    </row>
    <row r="25" spans="1:16" x14ac:dyDescent="0.2">
      <c r="A25" s="54">
        <v>2024.5</v>
      </c>
      <c r="B25" s="81">
        <f>(1-'Incidence Parameters'!I12-'Incidence Parameters'!J12)*'Soybean Prices and Production'!C14+'Incidence Parameters'!I12*(1-'Economic Surplus Parameters'!$C$7*(1-1*'Adoption Path Fluopyram'!D28))*'Soybean Prices and Production'!C14+('Incidence Parameters'!J12*(1-'Economic Surplus Parameters'!$C$7*(1-1*0))*'Soybean Prices and Production'!C14)</f>
        <v>4404092686.8551121</v>
      </c>
      <c r="C25" s="81">
        <f>(1-'Incidence Parameters'!I12-'Incidence Parameters'!J12)*'Soybean Prices and Production'!C14+'Incidence Parameters'!I12*(1-'Economic Surplus Parameters'!$C$7*(1-1*0))*'Soybean Prices and Production'!C14+('Incidence Parameters'!J12*(1-'Economic Surplus Parameters'!$C$7*(1-1*0))*'Soybean Prices and Production'!C14)</f>
        <v>4378048657.5</v>
      </c>
      <c r="D25" s="65">
        <f t="shared" si="3"/>
        <v>26044029.355112076</v>
      </c>
      <c r="E25" s="3">
        <f t="shared" si="0"/>
        <v>5.9487756744083364E-3</v>
      </c>
      <c r="F25" s="3">
        <f>B25/'Soybean Prices and Production'!C14</f>
        <v>0.99752948739640135</v>
      </c>
      <c r="G25" s="3">
        <f>C25/'Soybean Prices and Production'!C14</f>
        <v>0.99163049999999997</v>
      </c>
      <c r="H25" s="3">
        <f t="shared" si="1"/>
        <v>5.8989873964013784E-3</v>
      </c>
      <c r="I25">
        <f>D25*'Soybean Prices and Production'!B14</f>
        <v>234396264.19600868</v>
      </c>
      <c r="J25">
        <f>(1-G25)*'Soybean Prices and Production'!C14</f>
        <v>36951342.500000134</v>
      </c>
      <c r="K25">
        <f>J25*'Soybean Prices and Production'!B14</f>
        <v>332562082.50000119</v>
      </c>
      <c r="L25">
        <f t="shared" si="2"/>
        <v>332.56208250000117</v>
      </c>
    </row>
    <row r="26" spans="1:16" x14ac:dyDescent="0.2">
      <c r="A26" s="54">
        <v>2025.5</v>
      </c>
      <c r="B26" s="81">
        <f>(1-'Incidence Parameters'!I13-'Incidence Parameters'!J13)*'Soybean Prices and Production'!C15+'Incidence Parameters'!I13*(1-'Economic Surplus Parameters'!$C$7*(1-1*'Adoption Path Fluopyram'!D29))*'Soybean Prices and Production'!C15+('Incidence Parameters'!J13*(1-'Economic Surplus Parameters'!$C$7*(1-1*0))*'Soybean Prices and Production'!C15)</f>
        <v>4481326177.2107258</v>
      </c>
      <c r="C26" s="81">
        <f>(1-'Incidence Parameters'!I13-'Incidence Parameters'!J13)*'Soybean Prices and Production'!C15+'Incidence Parameters'!I13*(1-'Economic Surplus Parameters'!$C$7*(1-1*0))*'Soybean Prices and Production'!C15+('Incidence Parameters'!J13*(1-'Economic Surplus Parameters'!$C$7*(1-1*0))*'Soybean Prices and Production'!C15)</f>
        <v>4451847320.5599995</v>
      </c>
      <c r="D26" s="65">
        <f t="shared" si="3"/>
        <v>29478856.650726318</v>
      </c>
      <c r="E26" s="3">
        <f t="shared" si="0"/>
        <v>6.6217133086716373E-3</v>
      </c>
      <c r="F26" s="3">
        <f>B26/'Soybean Prices and Production'!C15</f>
        <v>0.99806819091552912</v>
      </c>
      <c r="G26" s="3">
        <f>C26/'Soybean Prices and Production'!C15</f>
        <v>0.99150274399999994</v>
      </c>
      <c r="H26" s="3">
        <f t="shared" si="1"/>
        <v>6.5654469155291828E-3</v>
      </c>
      <c r="I26">
        <f>D26*'Soybean Prices and Production'!B15</f>
        <v>284470966.67950898</v>
      </c>
      <c r="J26">
        <f>(1-G26)*'Soybean Prices and Production'!C15</f>
        <v>38152679.440000288</v>
      </c>
      <c r="K26">
        <f>J26*'Soybean Prices and Production'!B15</f>
        <v>368173356.59600282</v>
      </c>
      <c r="L26">
        <f t="shared" si="2"/>
        <v>368.1733565960028</v>
      </c>
    </row>
    <row r="27" spans="1:16" x14ac:dyDescent="0.2">
      <c r="A27" s="54">
        <v>2026.5</v>
      </c>
      <c r="B27" s="81">
        <f>(1-'Incidence Parameters'!I14-'Incidence Parameters'!J14)*'Soybean Prices and Production'!C16+'Incidence Parameters'!I14*(1-'Economic Surplus Parameters'!$C$7*(1-1*'Adoption Path Fluopyram'!D30))*'Soybean Prices and Production'!C16+('Incidence Parameters'!J14*(1-'Economic Surplus Parameters'!$C$7*(1-1*0))*'Soybean Prices and Production'!C16)</f>
        <v>4527945008.9465675</v>
      </c>
      <c r="C27" s="81">
        <f>(1-'Incidence Parameters'!I14-'Incidence Parameters'!J14)*'Soybean Prices and Production'!C16+'Incidence Parameters'!I14*(1-'Economic Surplus Parameters'!$C$7*(1-1*0))*'Soybean Prices and Production'!C16+('Incidence Parameters'!J14*(1-'Economic Surplus Parameters'!$C$7*(1-1*0))*'Soybean Prices and Production'!C16)</f>
        <v>4495885570.5799999</v>
      </c>
      <c r="D27" s="65">
        <f t="shared" si="3"/>
        <v>32059438.366567612</v>
      </c>
      <c r="E27" s="3">
        <f t="shared" si="0"/>
        <v>7.1308394894115876E-3</v>
      </c>
      <c r="F27" s="3">
        <f>B27/'Soybean Prices and Production'!C16</f>
        <v>0.99844432391324534</v>
      </c>
      <c r="G27" s="3">
        <f>C27/'Soybean Prices and Production'!C16</f>
        <v>0.99137498800000001</v>
      </c>
      <c r="H27" s="3">
        <f t="shared" si="1"/>
        <v>7.0693359132453226E-3</v>
      </c>
      <c r="I27">
        <f>D27*'Soybean Prices and Production'!B16</f>
        <v>302961692.56406391</v>
      </c>
      <c r="J27">
        <f>(1-G27)*'Soybean Prices and Production'!C16</f>
        <v>39114429.419999942</v>
      </c>
      <c r="K27">
        <f>J27*'Soybean Prices and Production'!B16</f>
        <v>369631358.0189994</v>
      </c>
      <c r="L27">
        <f t="shared" si="2"/>
        <v>369.63135801899938</v>
      </c>
    </row>
    <row r="28" spans="1:16" x14ac:dyDescent="0.2">
      <c r="A28" s="54">
        <v>2027.5</v>
      </c>
      <c r="B28" s="81">
        <f>(1-'Incidence Parameters'!I15-'Incidence Parameters'!J15)*'Soybean Prices and Production'!C17+'Incidence Parameters'!I15*(1-'Economic Surplus Parameters'!$C$7*(1-1*'Adoption Path Fluopyram'!D31))*'Soybean Prices and Production'!C17+('Incidence Parameters'!J15*(1-'Economic Surplus Parameters'!$C$7*(1-1*0))*'Soybean Prices and Production'!C17)</f>
        <v>4603963855.1373329</v>
      </c>
      <c r="C28" s="81">
        <f>(1-'Incidence Parameters'!I15-'Incidence Parameters'!J15)*'Soybean Prices and Production'!C17+'Incidence Parameters'!I15*(1-'Economic Surplus Parameters'!$C$7*(1-1*0))*'Soybean Prices and Production'!C17+('Incidence Parameters'!J15*(1-'Economic Surplus Parameters'!$C$7*(1-1*0))*'Soybean Prices and Production'!C17)</f>
        <v>4569649739.5200005</v>
      </c>
      <c r="D28" s="65">
        <f t="shared" si="3"/>
        <v>34314115.617332458</v>
      </c>
      <c r="E28" s="3">
        <f t="shared" si="0"/>
        <v>7.509134741897492E-3</v>
      </c>
      <c r="F28" s="3">
        <f>B28/'Soybean Prices and Production'!C17</f>
        <v>0.99869064102762106</v>
      </c>
      <c r="G28" s="3">
        <f>C28/'Soybean Prices and Production'!C17</f>
        <v>0.99124723200000009</v>
      </c>
      <c r="H28" s="3">
        <f t="shared" si="1"/>
        <v>7.443409027620973E-3</v>
      </c>
      <c r="I28">
        <f>D28*'Soybean Prices and Production'!B17</f>
        <v>324268392.58379173</v>
      </c>
      <c r="J28">
        <f>(1-G28)*'Soybean Prices and Production'!C17</f>
        <v>40350260.479999587</v>
      </c>
      <c r="K28">
        <f>J28*'Soybean Prices and Production'!B17</f>
        <v>381309961.53599608</v>
      </c>
      <c r="L28">
        <f t="shared" si="2"/>
        <v>381.30996153599608</v>
      </c>
    </row>
    <row r="29" spans="1:16" x14ac:dyDescent="0.2">
      <c r="A29" s="54">
        <v>2028.5</v>
      </c>
      <c r="B29" s="97">
        <f>(1-'Incidence Parameters'!I16-'Incidence Parameters'!J16)*'Soybean Prices and Production'!C18+'Incidence Parameters'!I16*(1-'Economic Surplus Parameters'!$C$7*(1-1*'Adoption Path Fluopyram'!D32))*'Soybean Prices and Production'!C18+('Incidence Parameters'!J16*(1-'Economic Surplus Parameters'!$C$7*(1-1*0))*'Soybean Prices and Production'!C18)</f>
        <v>4623564838.1532202</v>
      </c>
      <c r="C29" s="97">
        <f>(1-'Incidence Parameters'!I16-'Incidence Parameters'!J16)*'Soybean Prices and Production'!C18+'Incidence Parameters'!I16*(1-'Economic Surplus Parameters'!$C$7*(1-1*0))*'Soybean Prices and Production'!C18+('Incidence Parameters'!J16*(1-'Economic Surplus Parameters'!$C$7*(1-1*0))*'Soybean Prices and Production'!C18)</f>
        <v>4587606806.3107281</v>
      </c>
      <c r="D29" s="82">
        <f t="shared" si="3"/>
        <v>35958031.842492104</v>
      </c>
      <c r="E29" s="98">
        <f t="shared" si="0"/>
        <v>7.8380805855087898E-3</v>
      </c>
      <c r="F29" s="3">
        <f>B29/'Soybean Prices and Production'!C18</f>
        <v>0.99324701141852201</v>
      </c>
      <c r="G29" s="3">
        <f>C29/'Soybean Prices and Production'!C18</f>
        <v>0.98552240737072572</v>
      </c>
      <c r="H29" s="83">
        <f t="shared" si="1"/>
        <v>7.7246040477962907E-3</v>
      </c>
      <c r="I29">
        <f>D29*'Soybean Prices and Production'!B18</f>
        <v>339803400.91155034</v>
      </c>
      <c r="J29">
        <f>(1-G29)*'Soybean Prices and Production'!C18</f>
        <v>67393193.689271793</v>
      </c>
      <c r="K29">
        <f>J29*'Soybean Prices and Production'!B18</f>
        <v>636865680.36361837</v>
      </c>
      <c r="L29" s="95">
        <f t="shared" si="2"/>
        <v>636.86568036361837</v>
      </c>
    </row>
    <row r="30" spans="1:16" x14ac:dyDescent="0.2">
      <c r="A30" s="54">
        <v>2029.5</v>
      </c>
      <c r="B30" s="81">
        <f>(1-'Incidence Parameters'!I17-'Incidence Parameters'!J17)*'Soybean Prices and Production'!C19+'Incidence Parameters'!I17*(1-'Economic Surplus Parameters'!$C$7*(1-1*'Adoption Path Fluopyram'!D33))*'Soybean Prices and Production'!C19+('Incidence Parameters'!J17*(1-'Economic Surplus Parameters'!$C$7*(1-1*0))*'Soybean Prices and Production'!C19)</f>
        <v>4650044270.6908932</v>
      </c>
      <c r="C30" s="81">
        <f>(1-'Incidence Parameters'!I17-'Incidence Parameters'!J17)*'Soybean Prices and Production'!C19+'Incidence Parameters'!I17*(1-'Economic Surplus Parameters'!$C$7*(1-1*0))*'Soybean Prices and Production'!C19+('Incidence Parameters'!J17*(1-'Economic Surplus Parameters'!$C$7*(1-1*0))*'Soybean Prices and Production'!C19)</f>
        <v>4613066456.6000004</v>
      </c>
      <c r="D30" s="65">
        <f t="shared" si="3"/>
        <v>36977814.090892792</v>
      </c>
      <c r="E30" s="3">
        <f t="shared" si="0"/>
        <v>8.0158858405319396E-3</v>
      </c>
      <c r="F30" s="3">
        <f>B30/'Soybean Prices and Production'!C19</f>
        <v>0.99893539649643248</v>
      </c>
      <c r="G30" s="3">
        <f>C30/'Soybean Prices and Production'!C19</f>
        <v>0.99099172000000013</v>
      </c>
      <c r="H30" s="3">
        <f t="shared" si="1"/>
        <v>7.9436764964323503E-3</v>
      </c>
      <c r="I30">
        <f>D30*'Soybean Prices and Production'!B19</f>
        <v>349440343.15893686</v>
      </c>
      <c r="J30">
        <f>(1-G30)*'Soybean Prices and Production'!C19</f>
        <v>41933543.399999388</v>
      </c>
      <c r="K30">
        <f>J30*'Soybean Prices and Production'!B19</f>
        <v>396271985.12999415</v>
      </c>
      <c r="L30">
        <f t="shared" si="2"/>
        <v>396.27198512999416</v>
      </c>
    </row>
    <row r="31" spans="1:16" x14ac:dyDescent="0.2">
      <c r="A31" s="54">
        <v>2030.5</v>
      </c>
      <c r="B31" s="81">
        <f>(1-'Incidence Parameters'!I18-'Incidence Parameters'!J18)*'Soybean Prices and Production'!C20+'Incidence Parameters'!I18*(1-'Economic Surplus Parameters'!$C$7*(1-1*'Adoption Path Fluopyram'!D34))*'Soybean Prices and Production'!C20+('Incidence Parameters'!J18*(1-'Economic Surplus Parameters'!$C$7*(1-1*0))*'Soybean Prices and Production'!C20)</f>
        <v>4650283725.9265776</v>
      </c>
      <c r="C31" s="81">
        <f>(1-'Incidence Parameters'!I18-'Incidence Parameters'!J18)*'Soybean Prices and Production'!C20+'Incidence Parameters'!I18*(1-'Economic Surplus Parameters'!$C$7*(1-1*0))*'Soybean Prices and Production'!C20+('Incidence Parameters'!J18*(1-'Economic Surplus Parameters'!$C$7*(1-1*0))*'Soybean Prices and Production'!C20)</f>
        <v>4612471752.4200001</v>
      </c>
      <c r="D31" s="65">
        <f t="shared" si="3"/>
        <v>37811973.506577492</v>
      </c>
      <c r="E31" s="3">
        <f t="shared" si="0"/>
        <v>8.1977680376554927E-3</v>
      </c>
      <c r="F31" s="3">
        <f>B31/'Soybean Prices and Production'!C20</f>
        <v>0.99898683693374379</v>
      </c>
      <c r="G31" s="3">
        <f>C31/'Soybean Prices and Production'!C20</f>
        <v>0.99086396399999999</v>
      </c>
      <c r="H31" s="3">
        <f t="shared" si="1"/>
        <v>8.1228729337438077E-3</v>
      </c>
      <c r="I31">
        <f>D31*'Soybean Prices and Production'!B20</f>
        <v>357323149.63715726</v>
      </c>
      <c r="J31">
        <f>(1-G31)*'Soybean Prices and Production'!C20</f>
        <v>42528247.580000065</v>
      </c>
      <c r="K31">
        <f>J31*'Soybean Prices and Production'!B20</f>
        <v>401891939.63100058</v>
      </c>
      <c r="L31">
        <f t="shared" si="2"/>
        <v>401.89193963100058</v>
      </c>
    </row>
    <row r="32" spans="1:16" x14ac:dyDescent="0.2">
      <c r="A32" s="64">
        <v>2031.5</v>
      </c>
      <c r="B32" s="81">
        <f>(1-'Incidence Parameters'!I19-'Incidence Parameters'!J19)*'Soybean Prices and Production'!C21+'Incidence Parameters'!I19*(1-'Economic Surplus Parameters'!$C$7*(1-1*'Adoption Path Fluopyram'!D35))*'Soybean Prices and Production'!C21+('Incidence Parameters'!J19*(1-'Economic Surplus Parameters'!$C$7*(1-1*0))*'Soybean Prices and Production'!C21)</f>
        <v>4650406972.0232801</v>
      </c>
      <c r="C32" s="81">
        <f>(1-'Incidence Parameters'!I19-'Incidence Parameters'!J19)*'Soybean Prices and Production'!C21+'Incidence Parameters'!I19*(1-'Economic Surplus Parameters'!$C$7*(1-1*0))*'Soybean Prices and Production'!C21+('Incidence Parameters'!J19*(1-'Economic Surplus Parameters'!$C$7*(1-1*0))*'Soybean Prices and Production'!C21)</f>
        <v>4611877048.2399998</v>
      </c>
      <c r="D32" s="42">
        <f t="shared" si="3"/>
        <v>38529923.783280373</v>
      </c>
      <c r="E32" s="3">
        <f t="shared" si="0"/>
        <v>8.3544993459841455E-3</v>
      </c>
      <c r="F32" s="3">
        <f>B32/'Soybean Prices and Production'!C21</f>
        <v>0.99901331300177876</v>
      </c>
      <c r="G32" s="3">
        <f>C32/'Soybean Prices and Production'!C21</f>
        <v>0.99073620799999995</v>
      </c>
      <c r="H32" s="3">
        <f t="shared" si="1"/>
        <v>8.2771050017788061E-3</v>
      </c>
      <c r="I32">
        <f>D32*'Soybean Prices and Production'!B21</f>
        <v>364107779.7519995</v>
      </c>
      <c r="J32">
        <f>(1-G32)*'Soybean Prices and Production'!C21</f>
        <v>43122951.760000229</v>
      </c>
      <c r="K32">
        <f>J32*'Soybean Prices and Production'!B21</f>
        <v>407511894.13200212</v>
      </c>
      <c r="L32">
        <f t="shared" si="2"/>
        <v>407.51189413200211</v>
      </c>
    </row>
    <row r="33" spans="1:7" x14ac:dyDescent="0.2">
      <c r="A33" t="s">
        <v>141</v>
      </c>
      <c r="B33" s="65"/>
      <c r="C33" s="65"/>
      <c r="D33" s="65">
        <f>SUM(D18:D32)</f>
        <v>346004140.02506542</v>
      </c>
    </row>
    <row r="34" spans="1:7" x14ac:dyDescent="0.2">
      <c r="B34" s="65"/>
      <c r="C34" s="65"/>
      <c r="D34" s="65"/>
    </row>
    <row r="35" spans="1:7" x14ac:dyDescent="0.2">
      <c r="A35" t="s">
        <v>345</v>
      </c>
      <c r="B35" s="65"/>
      <c r="C35" s="65"/>
      <c r="D35" s="65" t="s">
        <v>342</v>
      </c>
      <c r="E35" t="s">
        <v>343</v>
      </c>
      <c r="F35" t="s">
        <v>348</v>
      </c>
    </row>
    <row r="36" spans="1:7" x14ac:dyDescent="0.2">
      <c r="A36" t="s">
        <v>310</v>
      </c>
      <c r="D36" s="91">
        <f>D33*9.372</f>
        <v>3242750800.3149133</v>
      </c>
      <c r="E36">
        <f>SUM(K18:K32)</f>
        <v>6047992389.5133448</v>
      </c>
      <c r="F36">
        <f>E36-D36</f>
        <v>2805241589.1984315</v>
      </c>
    </row>
    <row r="37" spans="1:7" x14ac:dyDescent="0.2">
      <c r="A37" t="s">
        <v>349</v>
      </c>
      <c r="D37">
        <f>SUM('Soybean Prices and Production'!D7:D21)</f>
        <v>626213880000</v>
      </c>
    </row>
    <row r="38" spans="1:7" x14ac:dyDescent="0.2">
      <c r="A38" t="s">
        <v>311</v>
      </c>
      <c r="D38">
        <f>(D36/D37)*100</f>
        <v>0.51783438596329312</v>
      </c>
      <c r="E38">
        <f>E36/D37*100</f>
        <v>0.96580299202460096</v>
      </c>
      <c r="F38">
        <f>(D36/E36)*100</f>
        <v>53.616978849668214</v>
      </c>
    </row>
    <row r="41" spans="1:7" x14ac:dyDescent="0.2">
      <c r="A41" t="s">
        <v>344</v>
      </c>
      <c r="D41" s="65" t="s">
        <v>342</v>
      </c>
      <c r="E41" t="s">
        <v>343</v>
      </c>
      <c r="F41" t="s">
        <v>348</v>
      </c>
    </row>
    <row r="42" spans="1:7" x14ac:dyDescent="0.2">
      <c r="A42" t="s">
        <v>310</v>
      </c>
      <c r="D42" s="21">
        <f>NPV(0.05,I18:I32)</f>
        <v>2002761743.2706945</v>
      </c>
      <c r="E42" s="21">
        <f>NPV(0.05,K18:K32)</f>
        <v>4133428693.2991714</v>
      </c>
      <c r="F42" s="21">
        <f>E42-D42</f>
        <v>2130666950.028477</v>
      </c>
      <c r="G42" s="21"/>
    </row>
    <row r="43" spans="1:7" x14ac:dyDescent="0.2">
      <c r="A43" t="s">
        <v>349</v>
      </c>
      <c r="D43" s="21">
        <f>NPV(0.05,'Soybean Prices and Production'!D7:D21)</f>
        <v>429366396290.38568</v>
      </c>
    </row>
    <row r="44" spans="1:7" x14ac:dyDescent="0.2">
      <c r="A44" t="s">
        <v>311</v>
      </c>
      <c r="D44">
        <f>(D42/D43)*100</f>
        <v>0.46644585150911588</v>
      </c>
      <c r="E44">
        <f>(E42/D43)*100</f>
        <v>0.96268099437005861</v>
      </c>
      <c r="F44">
        <f>(D42/E42)*100</f>
        <v>48.452795291169124</v>
      </c>
    </row>
    <row r="46" spans="1:7" x14ac:dyDescent="0.2">
      <c r="A46" t="s">
        <v>350</v>
      </c>
      <c r="D46" s="65" t="s">
        <v>342</v>
      </c>
      <c r="E46" t="s">
        <v>343</v>
      </c>
      <c r="F46" t="s">
        <v>348</v>
      </c>
    </row>
    <row r="47" spans="1:7" x14ac:dyDescent="0.2">
      <c r="A47" t="s">
        <v>351</v>
      </c>
      <c r="D47" s="65">
        <f>SUM(D18:D32)</f>
        <v>346004140.02506542</v>
      </c>
      <c r="E47">
        <f>SUM(J18:J32)</f>
        <v>645667117.54276395</v>
      </c>
      <c r="F47" s="65">
        <f>E47-D47</f>
        <v>299662977.51769853</v>
      </c>
    </row>
    <row r="48" spans="1:7" x14ac:dyDescent="0.2">
      <c r="A48" t="s">
        <v>352</v>
      </c>
      <c r="D48">
        <f>SUM('Soybean Prices and Production'!C7:C21)</f>
        <v>66816000000</v>
      </c>
    </row>
    <row r="49" spans="1:6" x14ac:dyDescent="0.2">
      <c r="A49" t="s">
        <v>351</v>
      </c>
      <c r="D49">
        <f>(D47/D48)*100</f>
        <v>0.51784623447237998</v>
      </c>
      <c r="E49">
        <f>(E47/D48)*100</f>
        <v>0.96633608348713462</v>
      </c>
      <c r="F49">
        <f>(F47/E47)*100</f>
        <v>46.411373504374133</v>
      </c>
    </row>
  </sheetData>
  <mergeCells count="1">
    <mergeCell ref="M17:P17"/>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17</vt:i4>
      </vt:variant>
      <vt:variant>
        <vt:lpstr>Named Ranges</vt:lpstr>
      </vt:variant>
      <vt:variant>
        <vt:i4>7</vt:i4>
      </vt:variant>
    </vt:vector>
  </HeadingPairs>
  <TitlesOfParts>
    <vt:vector size="24" baseType="lpstr">
      <vt:lpstr>Introduction</vt:lpstr>
      <vt:lpstr>Economic Surplus Parameters</vt:lpstr>
      <vt:lpstr>Incidence Parameters</vt:lpstr>
      <vt:lpstr>Research Costs</vt:lpstr>
      <vt:lpstr>Research and Outreach Costs</vt:lpstr>
      <vt:lpstr>Soybean Prices and Production</vt:lpstr>
      <vt:lpstr>Seed Treatment Costs</vt:lpstr>
      <vt:lpstr>Adoption Path Fluopyram</vt:lpstr>
      <vt:lpstr>Damage-Reduction Analysis</vt:lpstr>
      <vt:lpstr>Economic Surplus Analysis</vt:lpstr>
      <vt:lpstr>Soybean Prices Sensitivity</vt:lpstr>
      <vt:lpstr>Adoption Path Sensitivity</vt:lpstr>
      <vt:lpstr>Incidence Sensitivity</vt:lpstr>
      <vt:lpstr>Damage-Reduction Analysis Worse</vt:lpstr>
      <vt:lpstr>Economic Surplus Analysis Worse</vt:lpstr>
      <vt:lpstr>Damage-Reduction Best</vt:lpstr>
      <vt:lpstr>Economic Surplus Analysis Best</vt:lpstr>
      <vt:lpstr>'Adoption Path Sensitivity'!Alpha</vt:lpstr>
      <vt:lpstr>'Adoption Path Sensitivity'!Peak</vt:lpstr>
      <vt:lpstr>'Adoption Path Sensitivity'!Time0</vt:lpstr>
      <vt:lpstr>'Adoption Path Sensitivity'!Time1</vt:lpstr>
      <vt:lpstr>'Adoption Path Sensitivity'!Time2</vt:lpstr>
      <vt:lpstr>'Adoption Path Sensitivity'!Value1</vt:lpstr>
      <vt:lpstr>'Adoption Path Sensitivity'!Value2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Amy Baetsen-Young</dc:creator>
  <cp:lastModifiedBy>Amy Baetsen-Young</cp:lastModifiedBy>
  <cp:lastPrinted>2019-07-29T18:05:19Z</cp:lastPrinted>
  <dcterms:created xsi:type="dcterms:W3CDTF">2019-05-06T13:26:34Z</dcterms:created>
  <dcterms:modified xsi:type="dcterms:W3CDTF">2019-09-16T13:32:21Z</dcterms:modified>
</cp:coreProperties>
</file>